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ustomProperty5.bin" ContentType="application/vnd.openxmlformats-officedocument.spreadsheetml.customProperty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jmcmillen/Desktop/"/>
    </mc:Choice>
  </mc:AlternateContent>
  <xr:revisionPtr revIDLastSave="0" documentId="8_{81172E4F-5790-0B4E-B24B-E208DB997DD9}" xr6:coauthVersionLast="47" xr6:coauthVersionMax="47" xr10:uidLastSave="{00000000-0000-0000-0000-000000000000}"/>
  <workbookProtection workbookAlgorithmName="SHA-512" workbookHashValue="CZ5fKGG8KQ0xfs3JIU5qDU1AyelugJzJGmxn2A91DDVLNkDSwOzNsEBB3zqBYOzppsyDUpE1f77W9FPoaDV6hA==" workbookSaltValue="oPndL2uCRs5n97sL3nu0XQ==" workbookSpinCount="100000" lockStructure="1"/>
  <bookViews>
    <workbookView xWindow="0" yWindow="460" windowWidth="19420" windowHeight="10420" activeTab="1" xr2:uid="{00000000-000D-0000-FFFF-FFFF00000000}"/>
  </bookViews>
  <sheets>
    <sheet name="Rebates" sheetId="2" state="hidden" r:id="rId1"/>
    <sheet name="National" sheetId="3" r:id="rId2"/>
    <sheet name="California" sheetId="4" state="hidden" r:id="rId3"/>
    <sheet name="Washington" sheetId="5" state="hidden" r:id="rId4"/>
    <sheet name="NY - Nassau &amp; Suffolk Counties" sheetId="6" state="hidden" r:id="rId5"/>
  </sheets>
  <definedNames>
    <definedName name="California_Header">California!$B$3:$E$9</definedName>
    <definedName name="California_ProductForm">California!$B$17:$AF$75</definedName>
    <definedName name="California_Summary">California!$B$77:$E$94</definedName>
    <definedName name="GraduatedRebate" localSheetId="0">Rebates!$F$4:$K$10</definedName>
    <definedName name="National_Header">National!$B$3:$E$9</definedName>
    <definedName name="National_ProductForm">National!$B$17:$AF$84</definedName>
    <definedName name="National_Summary">National!$B$86:$E$103</definedName>
    <definedName name="NYNassauSuffolk_Header">'NY - Nassau &amp; Suffolk Counties'!$B$3:$E$9</definedName>
    <definedName name="NYNassauSuffolk_ProductForm">'NY - Nassau &amp; Suffolk Counties'!$B$17:$AF$65</definedName>
    <definedName name="NYNassauSuffolk_Summary">'NY - Nassau &amp; Suffolk Counties'!$B$67:$E$84</definedName>
    <definedName name="PluginStatus" localSheetId="0">Rebates!$B$4:$D$14</definedName>
    <definedName name="TotalPurchase" localSheetId="0">Rebates!$M$4:$P$9</definedName>
    <definedName name="Washington_Header">Washington!$B$3:$E$9</definedName>
    <definedName name="Washington_ProductForm">Washington!$B$17:$AF$82</definedName>
    <definedName name="Washington_Summary">Washington!$B$84:$E$101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1" i="6" l="1"/>
  <c r="AA22" i="5"/>
  <c r="AA22" i="3"/>
  <c r="AA22" i="4"/>
  <c r="H21" i="3" l="1"/>
  <c r="J21" i="3"/>
  <c r="K21" i="3"/>
  <c r="L21" i="3"/>
  <c r="M21" i="3"/>
  <c r="O21" i="3"/>
  <c r="Q21" i="3"/>
  <c r="R21" i="3"/>
  <c r="AE21" i="3"/>
  <c r="H22" i="3"/>
  <c r="J22" i="3"/>
  <c r="L22" i="3"/>
  <c r="M22" i="3"/>
  <c r="O22" i="3"/>
  <c r="Q22" i="3"/>
  <c r="R22" i="3" s="1"/>
  <c r="S22" i="3"/>
  <c r="K22" i="3" s="1"/>
  <c r="Z22" i="3"/>
  <c r="AE22" i="3"/>
  <c r="H23" i="3"/>
  <c r="J23" i="3"/>
  <c r="K23" i="3"/>
  <c r="L23" i="3"/>
  <c r="M23" i="3"/>
  <c r="O23" i="3"/>
  <c r="Q23" i="3"/>
  <c r="R23" i="3"/>
  <c r="AE23" i="3"/>
  <c r="H24" i="3"/>
  <c r="J24" i="3"/>
  <c r="K24" i="3"/>
  <c r="L24" i="3"/>
  <c r="L84" i="3" s="1"/>
  <c r="E94" i="3" s="1"/>
  <c r="B98" i="3" s="1"/>
  <c r="M24" i="3"/>
  <c r="O24" i="3"/>
  <c r="Q24" i="3"/>
  <c r="R24" i="3" s="1"/>
  <c r="AE24" i="3"/>
  <c r="H25" i="3"/>
  <c r="J25" i="3"/>
  <c r="K25" i="3"/>
  <c r="L25" i="3"/>
  <c r="M25" i="3"/>
  <c r="O25" i="3"/>
  <c r="Q25" i="3"/>
  <c r="R25" i="3" s="1"/>
  <c r="Z25" i="3"/>
  <c r="AE25" i="3"/>
  <c r="H26" i="3"/>
  <c r="H84" i="3" s="1"/>
  <c r="J26" i="3"/>
  <c r="L26" i="3"/>
  <c r="M26" i="3"/>
  <c r="O26" i="3"/>
  <c r="Q26" i="3"/>
  <c r="R26" i="3" s="1"/>
  <c r="Z26" i="3"/>
  <c r="K26" i="3" s="1"/>
  <c r="AA26" i="3"/>
  <c r="AE26" i="3"/>
  <c r="AE84" i="3" s="1"/>
  <c r="Z84" i="3" s="1"/>
  <c r="H27" i="3"/>
  <c r="J27" i="3"/>
  <c r="K27" i="3"/>
  <c r="L27" i="3"/>
  <c r="M27" i="3"/>
  <c r="O27" i="3"/>
  <c r="O84" i="3" s="1"/>
  <c r="E95" i="3" s="1"/>
  <c r="Q27" i="3"/>
  <c r="R27" i="3"/>
  <c r="Z27" i="3"/>
  <c r="AA27" i="3"/>
  <c r="AE27" i="3"/>
  <c r="H28" i="3"/>
  <c r="J28" i="3"/>
  <c r="K28" i="3"/>
  <c r="L28" i="3"/>
  <c r="M28" i="3"/>
  <c r="O28" i="3"/>
  <c r="Q28" i="3"/>
  <c r="R28" i="3"/>
  <c r="Z28" i="3"/>
  <c r="AA28" i="3"/>
  <c r="AE28" i="3"/>
  <c r="H29" i="3"/>
  <c r="J29" i="3"/>
  <c r="K29" i="3"/>
  <c r="L29" i="3"/>
  <c r="M29" i="3"/>
  <c r="O29" i="3"/>
  <c r="Q29" i="3"/>
  <c r="R29" i="3"/>
  <c r="AE29" i="3"/>
  <c r="H30" i="3"/>
  <c r="J30" i="3"/>
  <c r="K30" i="3"/>
  <c r="L30" i="3"/>
  <c r="M30" i="3"/>
  <c r="O30" i="3"/>
  <c r="Q30" i="3"/>
  <c r="R30" i="3" s="1"/>
  <c r="AE30" i="3"/>
  <c r="H31" i="3"/>
  <c r="J31" i="3"/>
  <c r="K31" i="3"/>
  <c r="L31" i="3"/>
  <c r="M31" i="3"/>
  <c r="O31" i="3"/>
  <c r="Q31" i="3"/>
  <c r="R31" i="3"/>
  <c r="Z31" i="3"/>
  <c r="AE31" i="3"/>
  <c r="H32" i="3"/>
  <c r="J32" i="3"/>
  <c r="L32" i="3"/>
  <c r="M32" i="3"/>
  <c r="O32" i="3"/>
  <c r="Q32" i="3"/>
  <c r="R32" i="3" s="1"/>
  <c r="Z32" i="3"/>
  <c r="K32" i="3" s="1"/>
  <c r="AE32" i="3"/>
  <c r="H33" i="3"/>
  <c r="J33" i="3"/>
  <c r="L33" i="3"/>
  <c r="M33" i="3"/>
  <c r="O33" i="3"/>
  <c r="Q33" i="3"/>
  <c r="R33" i="3" s="1"/>
  <c r="S33" i="3"/>
  <c r="K33" i="3" s="1"/>
  <c r="Z33" i="3"/>
  <c r="AA33" i="3"/>
  <c r="AE33" i="3"/>
  <c r="H34" i="3"/>
  <c r="J34" i="3"/>
  <c r="L34" i="3"/>
  <c r="M34" i="3"/>
  <c r="O34" i="3"/>
  <c r="Q34" i="3"/>
  <c r="R34" i="3"/>
  <c r="S34" i="3"/>
  <c r="Z34" i="3"/>
  <c r="AA34" i="3"/>
  <c r="AE34" i="3"/>
  <c r="H35" i="3"/>
  <c r="J35" i="3"/>
  <c r="K35" i="3"/>
  <c r="L35" i="3"/>
  <c r="M35" i="3"/>
  <c r="O35" i="3"/>
  <c r="Q35" i="3"/>
  <c r="R35" i="3" s="1"/>
  <c r="AE35" i="3"/>
  <c r="H36" i="3"/>
  <c r="J36" i="3"/>
  <c r="L36" i="3"/>
  <c r="M36" i="3"/>
  <c r="O36" i="3"/>
  <c r="Q36" i="3"/>
  <c r="R36" i="3"/>
  <c r="S36" i="3"/>
  <c r="K36" i="3" s="1"/>
  <c r="Z36" i="3"/>
  <c r="AA36" i="3"/>
  <c r="AE36" i="3"/>
  <c r="H37" i="3"/>
  <c r="J37" i="3"/>
  <c r="K37" i="3"/>
  <c r="L37" i="3"/>
  <c r="M37" i="3"/>
  <c r="O37" i="3"/>
  <c r="Q37" i="3"/>
  <c r="R37" i="3" s="1"/>
  <c r="Z37" i="3"/>
  <c r="AE37" i="3"/>
  <c r="H38" i="3"/>
  <c r="J38" i="3"/>
  <c r="K38" i="3"/>
  <c r="L38" i="3"/>
  <c r="M38" i="3"/>
  <c r="O38" i="3"/>
  <c r="Q38" i="3"/>
  <c r="R38" i="3"/>
  <c r="AE38" i="3"/>
  <c r="H39" i="3"/>
  <c r="J39" i="3"/>
  <c r="K39" i="3"/>
  <c r="L39" i="3"/>
  <c r="M39" i="3"/>
  <c r="O39" i="3"/>
  <c r="Q39" i="3"/>
  <c r="R39" i="3" s="1"/>
  <c r="AE39" i="3"/>
  <c r="H40" i="3"/>
  <c r="J40" i="3"/>
  <c r="K40" i="3"/>
  <c r="L40" i="3"/>
  <c r="M40" i="3"/>
  <c r="O40" i="3"/>
  <c r="Q40" i="3"/>
  <c r="R40" i="3"/>
  <c r="AE40" i="3"/>
  <c r="H41" i="3"/>
  <c r="J41" i="3"/>
  <c r="L41" i="3"/>
  <c r="M41" i="3"/>
  <c r="O41" i="3"/>
  <c r="Q41" i="3"/>
  <c r="R41" i="3"/>
  <c r="S41" i="3"/>
  <c r="K41" i="3" s="1"/>
  <c r="Z41" i="3"/>
  <c r="AA41" i="3"/>
  <c r="AE41" i="3"/>
  <c r="H42" i="3"/>
  <c r="J42" i="3"/>
  <c r="L42" i="3"/>
  <c r="M42" i="3"/>
  <c r="O42" i="3"/>
  <c r="Q42" i="3"/>
  <c r="R42" i="3" s="1"/>
  <c r="S42" i="3"/>
  <c r="K42" i="3" s="1"/>
  <c r="Z42" i="3"/>
  <c r="AA42" i="3"/>
  <c r="AE42" i="3"/>
  <c r="H43" i="3"/>
  <c r="J43" i="3"/>
  <c r="L43" i="3"/>
  <c r="M43" i="3"/>
  <c r="O43" i="3"/>
  <c r="Q43" i="3"/>
  <c r="R43" i="3"/>
  <c r="Z43" i="3"/>
  <c r="K43" i="3" s="1"/>
  <c r="AE43" i="3"/>
  <c r="H44" i="3"/>
  <c r="J44" i="3"/>
  <c r="K44" i="3"/>
  <c r="L44" i="3"/>
  <c r="M44" i="3"/>
  <c r="O44" i="3"/>
  <c r="Q44" i="3"/>
  <c r="R44" i="3"/>
  <c r="Z44" i="3"/>
  <c r="AE44" i="3"/>
  <c r="H45" i="3"/>
  <c r="J45" i="3"/>
  <c r="L45" i="3"/>
  <c r="M45" i="3"/>
  <c r="O45" i="3"/>
  <c r="Q45" i="3"/>
  <c r="R45" i="3" s="1"/>
  <c r="Z45" i="3"/>
  <c r="K45" i="3" s="1"/>
  <c r="AE45" i="3"/>
  <c r="H46" i="3"/>
  <c r="J46" i="3"/>
  <c r="K46" i="3"/>
  <c r="L46" i="3"/>
  <c r="M46" i="3"/>
  <c r="O46" i="3"/>
  <c r="Q46" i="3"/>
  <c r="R46" i="3" s="1"/>
  <c r="Z46" i="3"/>
  <c r="AE46" i="3"/>
  <c r="H47" i="3"/>
  <c r="J47" i="3"/>
  <c r="K47" i="3"/>
  <c r="L47" i="3"/>
  <c r="M47" i="3"/>
  <c r="O47" i="3"/>
  <c r="Q47" i="3"/>
  <c r="R47" i="3"/>
  <c r="AE47" i="3"/>
  <c r="H48" i="3"/>
  <c r="J48" i="3"/>
  <c r="L48" i="3"/>
  <c r="M48" i="3"/>
  <c r="O48" i="3"/>
  <c r="Q48" i="3"/>
  <c r="R48" i="3" s="1"/>
  <c r="S48" i="3"/>
  <c r="K48" i="3" s="1"/>
  <c r="Z48" i="3"/>
  <c r="AE48" i="3"/>
  <c r="H49" i="3"/>
  <c r="J49" i="3"/>
  <c r="K49" i="3"/>
  <c r="L49" i="3"/>
  <c r="M49" i="3"/>
  <c r="O49" i="3"/>
  <c r="Q49" i="3"/>
  <c r="R49" i="3" s="1"/>
  <c r="AE49" i="3"/>
  <c r="H50" i="3"/>
  <c r="J50" i="3"/>
  <c r="K50" i="3"/>
  <c r="L50" i="3"/>
  <c r="M50" i="3"/>
  <c r="O50" i="3"/>
  <c r="Q50" i="3"/>
  <c r="R50" i="3"/>
  <c r="AE50" i="3"/>
  <c r="H51" i="3"/>
  <c r="J51" i="3"/>
  <c r="J84" i="3" s="1"/>
  <c r="L51" i="3"/>
  <c r="M51" i="3"/>
  <c r="O51" i="3"/>
  <c r="Q51" i="3"/>
  <c r="R51" i="3" s="1"/>
  <c r="Z51" i="3"/>
  <c r="AA51" i="3"/>
  <c r="K51" i="3" s="1"/>
  <c r="AE51" i="3"/>
  <c r="H52" i="3"/>
  <c r="J52" i="3"/>
  <c r="K52" i="3"/>
  <c r="L52" i="3"/>
  <c r="M52" i="3"/>
  <c r="O52" i="3"/>
  <c r="Q52" i="3"/>
  <c r="R52" i="3" s="1"/>
  <c r="AE52" i="3"/>
  <c r="H53" i="3"/>
  <c r="J53" i="3"/>
  <c r="K53" i="3"/>
  <c r="L53" i="3"/>
  <c r="M53" i="3"/>
  <c r="O53" i="3"/>
  <c r="Q53" i="3"/>
  <c r="R53" i="3"/>
  <c r="Z53" i="3"/>
  <c r="AA53" i="3"/>
  <c r="AE53" i="3"/>
  <c r="H58" i="3"/>
  <c r="J58" i="3"/>
  <c r="K58" i="3"/>
  <c r="L58" i="3"/>
  <c r="M58" i="3"/>
  <c r="O58" i="3"/>
  <c r="Q58" i="3"/>
  <c r="R58" i="3"/>
  <c r="AE58" i="3"/>
  <c r="H59" i="3"/>
  <c r="J59" i="3"/>
  <c r="K59" i="3"/>
  <c r="L59" i="3"/>
  <c r="M59" i="3"/>
  <c r="O59" i="3"/>
  <c r="Q59" i="3"/>
  <c r="R59" i="3" s="1"/>
  <c r="AE59" i="3"/>
  <c r="H60" i="3"/>
  <c r="J60" i="3"/>
  <c r="K60" i="3"/>
  <c r="L60" i="3"/>
  <c r="M60" i="3"/>
  <c r="O60" i="3"/>
  <c r="Q60" i="3"/>
  <c r="R60" i="3"/>
  <c r="AE60" i="3"/>
  <c r="H61" i="3"/>
  <c r="J61" i="3"/>
  <c r="K61" i="3"/>
  <c r="L61" i="3"/>
  <c r="M61" i="3"/>
  <c r="O61" i="3"/>
  <c r="Q61" i="3"/>
  <c r="R61" i="3"/>
  <c r="AE61" i="3"/>
  <c r="H62" i="3"/>
  <c r="J62" i="3"/>
  <c r="K62" i="3"/>
  <c r="L62" i="3"/>
  <c r="M62" i="3"/>
  <c r="O62" i="3"/>
  <c r="Q62" i="3"/>
  <c r="R62" i="3" s="1"/>
  <c r="AE62" i="3"/>
  <c r="H63" i="3"/>
  <c r="J63" i="3"/>
  <c r="K63" i="3"/>
  <c r="L63" i="3"/>
  <c r="M63" i="3"/>
  <c r="O63" i="3"/>
  <c r="Q63" i="3"/>
  <c r="R63" i="3"/>
  <c r="AE63" i="3"/>
  <c r="H64" i="3"/>
  <c r="J64" i="3"/>
  <c r="K64" i="3"/>
  <c r="L64" i="3"/>
  <c r="M64" i="3"/>
  <c r="O64" i="3"/>
  <c r="Q64" i="3"/>
  <c r="R64" i="3" s="1"/>
  <c r="AE64" i="3"/>
  <c r="H65" i="3"/>
  <c r="J65" i="3"/>
  <c r="K65" i="3"/>
  <c r="L65" i="3"/>
  <c r="M65" i="3"/>
  <c r="O65" i="3"/>
  <c r="Q65" i="3"/>
  <c r="R65" i="3" s="1"/>
  <c r="AE65" i="3"/>
  <c r="H66" i="3"/>
  <c r="J66" i="3"/>
  <c r="K66" i="3"/>
  <c r="L66" i="3"/>
  <c r="M66" i="3"/>
  <c r="O66" i="3"/>
  <c r="Q66" i="3"/>
  <c r="R66" i="3"/>
  <c r="AE66" i="3"/>
  <c r="H67" i="3"/>
  <c r="J67" i="3"/>
  <c r="K67" i="3"/>
  <c r="L67" i="3"/>
  <c r="M67" i="3"/>
  <c r="O67" i="3"/>
  <c r="Q67" i="3"/>
  <c r="R67" i="3" s="1"/>
  <c r="AE67" i="3"/>
  <c r="H68" i="3"/>
  <c r="J68" i="3"/>
  <c r="K68" i="3"/>
  <c r="L68" i="3"/>
  <c r="M68" i="3"/>
  <c r="O68" i="3"/>
  <c r="Q68" i="3"/>
  <c r="R68" i="3"/>
  <c r="AE68" i="3"/>
  <c r="H69" i="3"/>
  <c r="J69" i="3"/>
  <c r="K69" i="3"/>
  <c r="L69" i="3"/>
  <c r="M69" i="3"/>
  <c r="O69" i="3"/>
  <c r="Q69" i="3"/>
  <c r="R69" i="3"/>
  <c r="AE69" i="3"/>
  <c r="H70" i="3"/>
  <c r="J70" i="3"/>
  <c r="K70" i="3"/>
  <c r="L70" i="3"/>
  <c r="M70" i="3"/>
  <c r="O70" i="3"/>
  <c r="Q70" i="3"/>
  <c r="R70" i="3" s="1"/>
  <c r="AE70" i="3"/>
  <c r="H71" i="3"/>
  <c r="J71" i="3"/>
  <c r="K71" i="3"/>
  <c r="L71" i="3"/>
  <c r="M71" i="3"/>
  <c r="O71" i="3"/>
  <c r="Q71" i="3"/>
  <c r="R71" i="3"/>
  <c r="AE71" i="3"/>
  <c r="H72" i="3"/>
  <c r="J72" i="3"/>
  <c r="K72" i="3"/>
  <c r="L72" i="3"/>
  <c r="M72" i="3"/>
  <c r="O72" i="3"/>
  <c r="Q72" i="3"/>
  <c r="R72" i="3" s="1"/>
  <c r="AE72" i="3"/>
  <c r="H73" i="3"/>
  <c r="J73" i="3"/>
  <c r="K73" i="3"/>
  <c r="L73" i="3"/>
  <c r="M73" i="3"/>
  <c r="O73" i="3"/>
  <c r="Q73" i="3"/>
  <c r="R73" i="3" s="1"/>
  <c r="AE73" i="3"/>
  <c r="H74" i="3"/>
  <c r="J74" i="3"/>
  <c r="K74" i="3"/>
  <c r="L74" i="3"/>
  <c r="M74" i="3"/>
  <c r="O74" i="3"/>
  <c r="Q74" i="3"/>
  <c r="R74" i="3"/>
  <c r="AE74" i="3"/>
  <c r="H75" i="3"/>
  <c r="J75" i="3"/>
  <c r="K75" i="3"/>
  <c r="L75" i="3"/>
  <c r="M75" i="3"/>
  <c r="O75" i="3"/>
  <c r="Q75" i="3"/>
  <c r="R75" i="3" s="1"/>
  <c r="AE75" i="3"/>
  <c r="H76" i="3"/>
  <c r="J76" i="3"/>
  <c r="K76" i="3"/>
  <c r="L76" i="3"/>
  <c r="M76" i="3"/>
  <c r="O76" i="3"/>
  <c r="Q76" i="3"/>
  <c r="R76" i="3"/>
  <c r="AE76" i="3"/>
  <c r="H77" i="3"/>
  <c r="J77" i="3"/>
  <c r="K77" i="3"/>
  <c r="L77" i="3"/>
  <c r="M77" i="3"/>
  <c r="O77" i="3"/>
  <c r="Q77" i="3"/>
  <c r="R77" i="3"/>
  <c r="AE77" i="3"/>
  <c r="H78" i="3"/>
  <c r="J78" i="3"/>
  <c r="K78" i="3"/>
  <c r="L78" i="3"/>
  <c r="M78" i="3"/>
  <c r="O78" i="3"/>
  <c r="Q78" i="3"/>
  <c r="R78" i="3" s="1"/>
  <c r="AE78" i="3"/>
  <c r="H79" i="3"/>
  <c r="J79" i="3"/>
  <c r="K79" i="3"/>
  <c r="L79" i="3"/>
  <c r="M79" i="3"/>
  <c r="O79" i="3"/>
  <c r="Q79" i="3"/>
  <c r="R79" i="3"/>
  <c r="AE79" i="3"/>
  <c r="H80" i="3"/>
  <c r="J80" i="3"/>
  <c r="K80" i="3"/>
  <c r="L80" i="3"/>
  <c r="M80" i="3"/>
  <c r="O80" i="3"/>
  <c r="Q80" i="3"/>
  <c r="R80" i="3" s="1"/>
  <c r="AE80" i="3"/>
  <c r="H81" i="3"/>
  <c r="J81" i="3"/>
  <c r="K81" i="3"/>
  <c r="L81" i="3"/>
  <c r="M81" i="3"/>
  <c r="O81" i="3"/>
  <c r="Q81" i="3"/>
  <c r="R81" i="3" s="1"/>
  <c r="AE81" i="3"/>
  <c r="H82" i="3"/>
  <c r="J82" i="3"/>
  <c r="K82" i="3"/>
  <c r="L82" i="3"/>
  <c r="M82" i="3"/>
  <c r="O82" i="3"/>
  <c r="Q82" i="3"/>
  <c r="R82" i="3"/>
  <c r="AE82" i="3"/>
  <c r="H83" i="3"/>
  <c r="J83" i="3"/>
  <c r="K83" i="3"/>
  <c r="L83" i="3"/>
  <c r="M83" i="3"/>
  <c r="O83" i="3"/>
  <c r="Q83" i="3"/>
  <c r="R83" i="3" s="1"/>
  <c r="AE83" i="3"/>
  <c r="F84" i="3"/>
  <c r="H21" i="4"/>
  <c r="J21" i="4"/>
  <c r="J75" i="4" s="1"/>
  <c r="K21" i="4"/>
  <c r="L21" i="4"/>
  <c r="L75" i="4" s="1"/>
  <c r="E85" i="4" s="1"/>
  <c r="B89" i="4" s="1"/>
  <c r="M21" i="4"/>
  <c r="O21" i="4"/>
  <c r="Q21" i="4"/>
  <c r="R21" i="4" s="1"/>
  <c r="AE21" i="4"/>
  <c r="H22" i="4"/>
  <c r="J22" i="4"/>
  <c r="L22" i="4"/>
  <c r="M22" i="4"/>
  <c r="O22" i="4"/>
  <c r="Q22" i="4"/>
  <c r="R22" i="4"/>
  <c r="S22" i="4"/>
  <c r="K22" i="4" s="1"/>
  <c r="Z22" i="4"/>
  <c r="AE22" i="4"/>
  <c r="H23" i="4"/>
  <c r="J23" i="4"/>
  <c r="K23" i="4"/>
  <c r="L23" i="4"/>
  <c r="M23" i="4"/>
  <c r="O23" i="4"/>
  <c r="Q23" i="4"/>
  <c r="R23" i="4"/>
  <c r="AE23" i="4"/>
  <c r="H24" i="4"/>
  <c r="J24" i="4"/>
  <c r="K24" i="4"/>
  <c r="L24" i="4"/>
  <c r="M24" i="4"/>
  <c r="O24" i="4"/>
  <c r="Q24" i="4"/>
  <c r="R24" i="4" s="1"/>
  <c r="AE24" i="4"/>
  <c r="H25" i="4"/>
  <c r="J25" i="4"/>
  <c r="L25" i="4"/>
  <c r="M25" i="4"/>
  <c r="O25" i="4"/>
  <c r="Q25" i="4"/>
  <c r="R25" i="4" s="1"/>
  <c r="Z25" i="4"/>
  <c r="K25" i="4" s="1"/>
  <c r="AE25" i="4"/>
  <c r="H26" i="4"/>
  <c r="J26" i="4"/>
  <c r="L26" i="4"/>
  <c r="M26" i="4"/>
  <c r="O26" i="4"/>
  <c r="Q26" i="4"/>
  <c r="R26" i="4" s="1"/>
  <c r="Z26" i="4"/>
  <c r="AA26" i="4"/>
  <c r="K26" i="4" s="1"/>
  <c r="AE26" i="4"/>
  <c r="H27" i="4"/>
  <c r="J27" i="4"/>
  <c r="L27" i="4"/>
  <c r="M27" i="4"/>
  <c r="O27" i="4"/>
  <c r="Q27" i="4"/>
  <c r="R27" i="4" s="1"/>
  <c r="Z27" i="4"/>
  <c r="K27" i="4" s="1"/>
  <c r="AA27" i="4"/>
  <c r="AE27" i="4"/>
  <c r="H28" i="4"/>
  <c r="J28" i="4"/>
  <c r="K28" i="4"/>
  <c r="L28" i="4"/>
  <c r="M28" i="4"/>
  <c r="O28" i="4"/>
  <c r="Q28" i="4"/>
  <c r="R28" i="4" s="1"/>
  <c r="AE28" i="4"/>
  <c r="AE75" i="4" s="1"/>
  <c r="Z75" i="4" s="1"/>
  <c r="H29" i="4"/>
  <c r="J29" i="4"/>
  <c r="K29" i="4"/>
  <c r="L29" i="4"/>
  <c r="M29" i="4"/>
  <c r="O29" i="4"/>
  <c r="Q29" i="4"/>
  <c r="R29" i="4"/>
  <c r="Z29" i="4"/>
  <c r="AE29" i="4"/>
  <c r="H30" i="4"/>
  <c r="J30" i="4"/>
  <c r="L30" i="4"/>
  <c r="M30" i="4"/>
  <c r="O30" i="4"/>
  <c r="O75" i="4" s="1"/>
  <c r="E86" i="4" s="1"/>
  <c r="Q30" i="4"/>
  <c r="R30" i="4"/>
  <c r="Z30" i="4"/>
  <c r="K30" i="4" s="1"/>
  <c r="AE30" i="4"/>
  <c r="H31" i="4"/>
  <c r="J31" i="4"/>
  <c r="L31" i="4"/>
  <c r="M31" i="4"/>
  <c r="O31" i="4"/>
  <c r="Q31" i="4"/>
  <c r="R31" i="4" s="1"/>
  <c r="S31" i="4"/>
  <c r="K31" i="4" s="1"/>
  <c r="Z31" i="4"/>
  <c r="AA31" i="4"/>
  <c r="AE31" i="4"/>
  <c r="H32" i="4"/>
  <c r="J32" i="4"/>
  <c r="L32" i="4"/>
  <c r="M32" i="4"/>
  <c r="O32" i="4"/>
  <c r="Q32" i="4"/>
  <c r="R32" i="4"/>
  <c r="S32" i="4"/>
  <c r="K32" i="4" s="1"/>
  <c r="Z32" i="4"/>
  <c r="AA32" i="4"/>
  <c r="AE32" i="4"/>
  <c r="H33" i="4"/>
  <c r="J33" i="4"/>
  <c r="K33" i="4"/>
  <c r="L33" i="4"/>
  <c r="M33" i="4"/>
  <c r="O33" i="4"/>
  <c r="Q33" i="4"/>
  <c r="R33" i="4" s="1"/>
  <c r="AE33" i="4"/>
  <c r="H34" i="4"/>
  <c r="J34" i="4"/>
  <c r="L34" i="4"/>
  <c r="M34" i="4"/>
  <c r="O34" i="4"/>
  <c r="Q34" i="4"/>
  <c r="R34" i="4"/>
  <c r="S34" i="4"/>
  <c r="Z34" i="4"/>
  <c r="AA34" i="4"/>
  <c r="AE34" i="4"/>
  <c r="H35" i="4"/>
  <c r="J35" i="4"/>
  <c r="K35" i="4"/>
  <c r="L35" i="4"/>
  <c r="M35" i="4"/>
  <c r="O35" i="4"/>
  <c r="Q35" i="4"/>
  <c r="R35" i="4" s="1"/>
  <c r="Z35" i="4"/>
  <c r="AE35" i="4"/>
  <c r="H36" i="4"/>
  <c r="J36" i="4"/>
  <c r="K36" i="4"/>
  <c r="L36" i="4"/>
  <c r="M36" i="4"/>
  <c r="O36" i="4"/>
  <c r="Q36" i="4"/>
  <c r="R36" i="4"/>
  <c r="AE36" i="4"/>
  <c r="H37" i="4"/>
  <c r="J37" i="4"/>
  <c r="K37" i="4"/>
  <c r="L37" i="4"/>
  <c r="M37" i="4"/>
  <c r="O37" i="4"/>
  <c r="Q37" i="4"/>
  <c r="R37" i="4" s="1"/>
  <c r="AE37" i="4"/>
  <c r="H38" i="4"/>
  <c r="J38" i="4"/>
  <c r="K38" i="4"/>
  <c r="L38" i="4"/>
  <c r="M38" i="4"/>
  <c r="O38" i="4"/>
  <c r="Q38" i="4"/>
  <c r="R38" i="4"/>
  <c r="AE38" i="4"/>
  <c r="H39" i="4"/>
  <c r="J39" i="4"/>
  <c r="K39" i="4"/>
  <c r="L39" i="4"/>
  <c r="M39" i="4"/>
  <c r="O39" i="4"/>
  <c r="Q39" i="4"/>
  <c r="R39" i="4" s="1"/>
  <c r="Z39" i="4"/>
  <c r="AE39" i="4"/>
  <c r="H40" i="4"/>
  <c r="J40" i="4"/>
  <c r="K40" i="4"/>
  <c r="L40" i="4"/>
  <c r="M40" i="4"/>
  <c r="O40" i="4"/>
  <c r="Q40" i="4"/>
  <c r="R40" i="4"/>
  <c r="Z40" i="4"/>
  <c r="AE40" i="4"/>
  <c r="H41" i="4"/>
  <c r="J41" i="4"/>
  <c r="L41" i="4"/>
  <c r="M41" i="4"/>
  <c r="O41" i="4"/>
  <c r="Q41" i="4"/>
  <c r="R41" i="4"/>
  <c r="Z41" i="4"/>
  <c r="K41" i="4" s="1"/>
  <c r="AE41" i="4"/>
  <c r="H42" i="4"/>
  <c r="J42" i="4"/>
  <c r="L42" i="4"/>
  <c r="M42" i="4"/>
  <c r="O42" i="4"/>
  <c r="Q42" i="4"/>
  <c r="R42" i="4" s="1"/>
  <c r="Z42" i="4"/>
  <c r="K42" i="4" s="1"/>
  <c r="AE42" i="4"/>
  <c r="H43" i="4"/>
  <c r="J43" i="4"/>
  <c r="K43" i="4"/>
  <c r="L43" i="4"/>
  <c r="M43" i="4"/>
  <c r="O43" i="4"/>
  <c r="Q43" i="4"/>
  <c r="R43" i="4" s="1"/>
  <c r="AE43" i="4"/>
  <c r="H44" i="4"/>
  <c r="J44" i="4"/>
  <c r="L44" i="4"/>
  <c r="M44" i="4"/>
  <c r="O44" i="4"/>
  <c r="Q44" i="4"/>
  <c r="R44" i="4" s="1"/>
  <c r="S44" i="4"/>
  <c r="K44" i="4" s="1"/>
  <c r="Z44" i="4"/>
  <c r="AE44" i="4"/>
  <c r="H45" i="4"/>
  <c r="J45" i="4"/>
  <c r="K45" i="4"/>
  <c r="L45" i="4"/>
  <c r="M45" i="4"/>
  <c r="O45" i="4"/>
  <c r="Q45" i="4"/>
  <c r="R45" i="4"/>
  <c r="AE45" i="4"/>
  <c r="H46" i="4"/>
  <c r="J46" i="4"/>
  <c r="K46" i="4"/>
  <c r="L46" i="4"/>
  <c r="M46" i="4"/>
  <c r="O46" i="4"/>
  <c r="Q46" i="4"/>
  <c r="R46" i="4"/>
  <c r="AE46" i="4"/>
  <c r="H47" i="4"/>
  <c r="J47" i="4"/>
  <c r="K47" i="4"/>
  <c r="L47" i="4"/>
  <c r="M47" i="4"/>
  <c r="O47" i="4"/>
  <c r="Q47" i="4"/>
  <c r="R47" i="4" s="1"/>
  <c r="AE47" i="4"/>
  <c r="H48" i="4"/>
  <c r="J48" i="4"/>
  <c r="K48" i="4"/>
  <c r="L48" i="4"/>
  <c r="M48" i="4"/>
  <c r="O48" i="4"/>
  <c r="Q48" i="4"/>
  <c r="R48" i="4"/>
  <c r="Z48" i="4"/>
  <c r="AA48" i="4"/>
  <c r="AE48" i="4"/>
  <c r="H53" i="4"/>
  <c r="J53" i="4"/>
  <c r="K53" i="4"/>
  <c r="L53" i="4"/>
  <c r="M53" i="4"/>
  <c r="O53" i="4"/>
  <c r="Q53" i="4"/>
  <c r="R53" i="4"/>
  <c r="AE53" i="4"/>
  <c r="H54" i="4"/>
  <c r="J54" i="4"/>
  <c r="K54" i="4"/>
  <c r="L54" i="4"/>
  <c r="M54" i="4"/>
  <c r="O54" i="4"/>
  <c r="Q54" i="4"/>
  <c r="R54" i="4" s="1"/>
  <c r="AE54" i="4"/>
  <c r="H55" i="4"/>
  <c r="J55" i="4"/>
  <c r="K55" i="4"/>
  <c r="L55" i="4"/>
  <c r="M55" i="4"/>
  <c r="O55" i="4"/>
  <c r="Q55" i="4"/>
  <c r="R55" i="4"/>
  <c r="AE55" i="4"/>
  <c r="H56" i="4"/>
  <c r="J56" i="4"/>
  <c r="K56" i="4"/>
  <c r="L56" i="4"/>
  <c r="M56" i="4"/>
  <c r="O56" i="4"/>
  <c r="Q56" i="4"/>
  <c r="R56" i="4"/>
  <c r="AE56" i="4"/>
  <c r="H57" i="4"/>
  <c r="J57" i="4"/>
  <c r="K57" i="4"/>
  <c r="L57" i="4"/>
  <c r="M57" i="4"/>
  <c r="O57" i="4"/>
  <c r="Q57" i="4"/>
  <c r="R57" i="4" s="1"/>
  <c r="AE57" i="4"/>
  <c r="H58" i="4"/>
  <c r="J58" i="4"/>
  <c r="K58" i="4"/>
  <c r="L58" i="4"/>
  <c r="M58" i="4"/>
  <c r="O58" i="4"/>
  <c r="Q58" i="4"/>
  <c r="R58" i="4"/>
  <c r="AE58" i="4"/>
  <c r="H59" i="4"/>
  <c r="J59" i="4"/>
  <c r="K59" i="4"/>
  <c r="L59" i="4"/>
  <c r="M59" i="4"/>
  <c r="O59" i="4"/>
  <c r="Q59" i="4"/>
  <c r="R59" i="4" s="1"/>
  <c r="AE59" i="4"/>
  <c r="H60" i="4"/>
  <c r="J60" i="4"/>
  <c r="K60" i="4"/>
  <c r="L60" i="4"/>
  <c r="M60" i="4"/>
  <c r="O60" i="4"/>
  <c r="Q60" i="4"/>
  <c r="R60" i="4" s="1"/>
  <c r="AE60" i="4"/>
  <c r="H61" i="4"/>
  <c r="J61" i="4"/>
  <c r="K61" i="4"/>
  <c r="L61" i="4"/>
  <c r="M61" i="4"/>
  <c r="O61" i="4"/>
  <c r="Q61" i="4"/>
  <c r="R61" i="4"/>
  <c r="AE61" i="4"/>
  <c r="H62" i="4"/>
  <c r="J62" i="4"/>
  <c r="K62" i="4"/>
  <c r="L62" i="4"/>
  <c r="M62" i="4"/>
  <c r="O62" i="4"/>
  <c r="Q62" i="4"/>
  <c r="R62" i="4" s="1"/>
  <c r="AE62" i="4"/>
  <c r="H63" i="4"/>
  <c r="J63" i="4"/>
  <c r="K63" i="4"/>
  <c r="L63" i="4"/>
  <c r="M63" i="4"/>
  <c r="O63" i="4"/>
  <c r="Q63" i="4"/>
  <c r="R63" i="4"/>
  <c r="AE63" i="4"/>
  <c r="H64" i="4"/>
  <c r="J64" i="4"/>
  <c r="K64" i="4"/>
  <c r="L64" i="4"/>
  <c r="M64" i="4"/>
  <c r="O64" i="4"/>
  <c r="Q64" i="4"/>
  <c r="R64" i="4"/>
  <c r="AE64" i="4"/>
  <c r="H65" i="4"/>
  <c r="J65" i="4"/>
  <c r="K65" i="4"/>
  <c r="L65" i="4"/>
  <c r="M65" i="4"/>
  <c r="O65" i="4"/>
  <c r="Q65" i="4"/>
  <c r="R65" i="4" s="1"/>
  <c r="AE65" i="4"/>
  <c r="H66" i="4"/>
  <c r="J66" i="4"/>
  <c r="K66" i="4"/>
  <c r="L66" i="4"/>
  <c r="M66" i="4"/>
  <c r="O66" i="4"/>
  <c r="Q66" i="4"/>
  <c r="R66" i="4"/>
  <c r="AE66" i="4"/>
  <c r="H67" i="4"/>
  <c r="J67" i="4"/>
  <c r="K67" i="4"/>
  <c r="L67" i="4"/>
  <c r="M67" i="4"/>
  <c r="O67" i="4"/>
  <c r="Q67" i="4"/>
  <c r="R67" i="4" s="1"/>
  <c r="AE67" i="4"/>
  <c r="H68" i="4"/>
  <c r="J68" i="4"/>
  <c r="K68" i="4"/>
  <c r="L68" i="4"/>
  <c r="M68" i="4"/>
  <c r="O68" i="4"/>
  <c r="Q68" i="4"/>
  <c r="R68" i="4" s="1"/>
  <c r="AE68" i="4"/>
  <c r="H69" i="4"/>
  <c r="J69" i="4"/>
  <c r="K69" i="4"/>
  <c r="L69" i="4"/>
  <c r="M69" i="4"/>
  <c r="O69" i="4"/>
  <c r="Q69" i="4"/>
  <c r="R69" i="4"/>
  <c r="AE69" i="4"/>
  <c r="H70" i="4"/>
  <c r="J70" i="4"/>
  <c r="K70" i="4"/>
  <c r="L70" i="4"/>
  <c r="M70" i="4"/>
  <c r="O70" i="4"/>
  <c r="Q70" i="4"/>
  <c r="R70" i="4" s="1"/>
  <c r="AE70" i="4"/>
  <c r="H71" i="4"/>
  <c r="J71" i="4"/>
  <c r="K71" i="4"/>
  <c r="L71" i="4"/>
  <c r="M71" i="4"/>
  <c r="O71" i="4"/>
  <c r="Q71" i="4"/>
  <c r="R71" i="4"/>
  <c r="AE71" i="4"/>
  <c r="H72" i="4"/>
  <c r="J72" i="4"/>
  <c r="K72" i="4"/>
  <c r="L72" i="4"/>
  <c r="M72" i="4"/>
  <c r="O72" i="4"/>
  <c r="Q72" i="4"/>
  <c r="R72" i="4"/>
  <c r="AE72" i="4"/>
  <c r="H73" i="4"/>
  <c r="J73" i="4"/>
  <c r="K73" i="4"/>
  <c r="L73" i="4"/>
  <c r="M73" i="4"/>
  <c r="O73" i="4"/>
  <c r="Q73" i="4"/>
  <c r="R73" i="4" s="1"/>
  <c r="AE73" i="4"/>
  <c r="H74" i="4"/>
  <c r="J74" i="4"/>
  <c r="K74" i="4"/>
  <c r="L74" i="4"/>
  <c r="M74" i="4"/>
  <c r="O74" i="4"/>
  <c r="Q74" i="4"/>
  <c r="R74" i="4"/>
  <c r="AE74" i="4"/>
  <c r="F75" i="4"/>
  <c r="H75" i="4"/>
  <c r="E82" i="4" s="1"/>
  <c r="E88" i="4" s="1"/>
  <c r="H21" i="5"/>
  <c r="J21" i="5"/>
  <c r="K21" i="5"/>
  <c r="L21" i="5"/>
  <c r="M21" i="5"/>
  <c r="O21" i="5"/>
  <c r="Q21" i="5"/>
  <c r="R21" i="5" s="1"/>
  <c r="AE21" i="5"/>
  <c r="H22" i="5"/>
  <c r="J22" i="5"/>
  <c r="J82" i="5" s="1"/>
  <c r="L22" i="5"/>
  <c r="M22" i="5"/>
  <c r="O22" i="5"/>
  <c r="Q22" i="5"/>
  <c r="R22" i="5" s="1"/>
  <c r="S22" i="5"/>
  <c r="K22" i="5" s="1"/>
  <c r="Z22" i="5"/>
  <c r="AE22" i="5"/>
  <c r="H23" i="5"/>
  <c r="J23" i="5"/>
  <c r="K23" i="5"/>
  <c r="L23" i="5"/>
  <c r="L82" i="5" s="1"/>
  <c r="E92" i="5" s="1"/>
  <c r="B96" i="5" s="1"/>
  <c r="M23" i="5"/>
  <c r="O23" i="5"/>
  <c r="Q23" i="5"/>
  <c r="R23" i="5" s="1"/>
  <c r="AE23" i="5"/>
  <c r="H24" i="5"/>
  <c r="J24" i="5"/>
  <c r="K24" i="5"/>
  <c r="L24" i="5"/>
  <c r="M24" i="5"/>
  <c r="O24" i="5"/>
  <c r="Q24" i="5"/>
  <c r="R24" i="5"/>
  <c r="AE24" i="5"/>
  <c r="AE82" i="5" s="1"/>
  <c r="Z82" i="5" s="1"/>
  <c r="H25" i="5"/>
  <c r="H82" i="5" s="1"/>
  <c r="J25" i="5"/>
  <c r="L25" i="5"/>
  <c r="M25" i="5"/>
  <c r="O25" i="5"/>
  <c r="Q25" i="5"/>
  <c r="R25" i="5"/>
  <c r="Z25" i="5"/>
  <c r="K25" i="5" s="1"/>
  <c r="AE25" i="5"/>
  <c r="H26" i="5"/>
  <c r="J26" i="5"/>
  <c r="K26" i="5"/>
  <c r="L26" i="5"/>
  <c r="M26" i="5"/>
  <c r="O26" i="5"/>
  <c r="Q26" i="5"/>
  <c r="R26" i="5" s="1"/>
  <c r="Z26" i="5"/>
  <c r="AA26" i="5"/>
  <c r="AE26" i="5"/>
  <c r="H27" i="5"/>
  <c r="J27" i="5"/>
  <c r="K27" i="5"/>
  <c r="L27" i="5"/>
  <c r="M27" i="5"/>
  <c r="O27" i="5"/>
  <c r="Q27" i="5"/>
  <c r="R27" i="5"/>
  <c r="Z27" i="5"/>
  <c r="AA27" i="5"/>
  <c r="AE27" i="5"/>
  <c r="H28" i="5"/>
  <c r="J28" i="5"/>
  <c r="L28" i="5"/>
  <c r="M28" i="5"/>
  <c r="O28" i="5"/>
  <c r="Q28" i="5"/>
  <c r="R28" i="5"/>
  <c r="Z28" i="5"/>
  <c r="K28" i="5" s="1"/>
  <c r="AA28" i="5"/>
  <c r="AE28" i="5"/>
  <c r="H29" i="5"/>
  <c r="J29" i="5"/>
  <c r="K29" i="5"/>
  <c r="L29" i="5"/>
  <c r="M29" i="5"/>
  <c r="O29" i="5"/>
  <c r="Q29" i="5"/>
  <c r="R29" i="5" s="1"/>
  <c r="AE29" i="5"/>
  <c r="H30" i="5"/>
  <c r="J30" i="5"/>
  <c r="K30" i="5"/>
  <c r="L30" i="5"/>
  <c r="M30" i="5"/>
  <c r="O30" i="5"/>
  <c r="Q30" i="5"/>
  <c r="R30" i="5"/>
  <c r="AE30" i="5"/>
  <c r="H31" i="5"/>
  <c r="J31" i="5"/>
  <c r="K31" i="5"/>
  <c r="L31" i="5"/>
  <c r="M31" i="5"/>
  <c r="O31" i="5"/>
  <c r="Q31" i="5"/>
  <c r="R31" i="5"/>
  <c r="Z31" i="5"/>
  <c r="AE31" i="5"/>
  <c r="H32" i="5"/>
  <c r="J32" i="5"/>
  <c r="L32" i="5"/>
  <c r="M32" i="5"/>
  <c r="O32" i="5"/>
  <c r="Q32" i="5"/>
  <c r="R32" i="5"/>
  <c r="Z32" i="5"/>
  <c r="K32" i="5" s="1"/>
  <c r="AE32" i="5"/>
  <c r="H33" i="5"/>
  <c r="J33" i="5"/>
  <c r="L33" i="5"/>
  <c r="M33" i="5"/>
  <c r="O33" i="5"/>
  <c r="Q33" i="5"/>
  <c r="R33" i="5"/>
  <c r="S33" i="5"/>
  <c r="K33" i="5" s="1"/>
  <c r="Z33" i="5"/>
  <c r="AA33" i="5"/>
  <c r="AE33" i="5"/>
  <c r="H34" i="5"/>
  <c r="J34" i="5"/>
  <c r="L34" i="5"/>
  <c r="M34" i="5"/>
  <c r="O34" i="5"/>
  <c r="Q34" i="5"/>
  <c r="R34" i="5"/>
  <c r="S34" i="5"/>
  <c r="K34" i="5" s="1"/>
  <c r="Z34" i="5"/>
  <c r="AA34" i="5"/>
  <c r="AE34" i="5"/>
  <c r="H35" i="5"/>
  <c r="J35" i="5"/>
  <c r="K35" i="5"/>
  <c r="L35" i="5"/>
  <c r="M35" i="5"/>
  <c r="O35" i="5"/>
  <c r="Q35" i="5"/>
  <c r="R35" i="5"/>
  <c r="AE35" i="5"/>
  <c r="H36" i="5"/>
  <c r="J36" i="5"/>
  <c r="L36" i="5"/>
  <c r="M36" i="5"/>
  <c r="O36" i="5"/>
  <c r="Q36" i="5"/>
  <c r="R36" i="5" s="1"/>
  <c r="S36" i="5"/>
  <c r="Z36" i="5"/>
  <c r="AA36" i="5"/>
  <c r="AE36" i="5"/>
  <c r="H37" i="5"/>
  <c r="J37" i="5"/>
  <c r="K37" i="5"/>
  <c r="L37" i="5"/>
  <c r="M37" i="5"/>
  <c r="O37" i="5"/>
  <c r="Q37" i="5"/>
  <c r="R37" i="5" s="1"/>
  <c r="Z37" i="5"/>
  <c r="AE37" i="5"/>
  <c r="H38" i="5"/>
  <c r="J38" i="5"/>
  <c r="K38" i="5"/>
  <c r="L38" i="5"/>
  <c r="M38" i="5"/>
  <c r="O38" i="5"/>
  <c r="Q38" i="5"/>
  <c r="R38" i="5"/>
  <c r="AE38" i="5"/>
  <c r="H39" i="5"/>
  <c r="J39" i="5"/>
  <c r="K39" i="5"/>
  <c r="L39" i="5"/>
  <c r="M39" i="5"/>
  <c r="O39" i="5"/>
  <c r="Q39" i="5"/>
  <c r="R39" i="5"/>
  <c r="AE39" i="5"/>
  <c r="H40" i="5"/>
  <c r="J40" i="5"/>
  <c r="K40" i="5"/>
  <c r="L40" i="5"/>
  <c r="M40" i="5"/>
  <c r="O40" i="5"/>
  <c r="Q40" i="5"/>
  <c r="R40" i="5" s="1"/>
  <c r="AE40" i="5"/>
  <c r="H41" i="5"/>
  <c r="J41" i="5"/>
  <c r="L41" i="5"/>
  <c r="M41" i="5"/>
  <c r="O41" i="5"/>
  <c r="Q41" i="5"/>
  <c r="R41" i="5" s="1"/>
  <c r="S41" i="5"/>
  <c r="K41" i="5" s="1"/>
  <c r="Z41" i="5"/>
  <c r="AA41" i="5"/>
  <c r="AE41" i="5"/>
  <c r="H42" i="5"/>
  <c r="J42" i="5"/>
  <c r="L42" i="5"/>
  <c r="M42" i="5"/>
  <c r="O42" i="5"/>
  <c r="Q42" i="5"/>
  <c r="R42" i="5" s="1"/>
  <c r="S42" i="5"/>
  <c r="K42" i="5" s="1"/>
  <c r="Z42" i="5"/>
  <c r="AA42" i="5"/>
  <c r="AE42" i="5"/>
  <c r="H43" i="5"/>
  <c r="J43" i="5"/>
  <c r="L43" i="5"/>
  <c r="M43" i="5"/>
  <c r="O43" i="5"/>
  <c r="Q43" i="5"/>
  <c r="R43" i="5" s="1"/>
  <c r="Z43" i="5"/>
  <c r="K43" i="5" s="1"/>
  <c r="AE43" i="5"/>
  <c r="H44" i="5"/>
  <c r="J44" i="5"/>
  <c r="K44" i="5"/>
  <c r="L44" i="5"/>
  <c r="M44" i="5"/>
  <c r="O44" i="5"/>
  <c r="Q44" i="5"/>
  <c r="R44" i="5"/>
  <c r="Z44" i="5"/>
  <c r="AE44" i="5"/>
  <c r="H45" i="5"/>
  <c r="J45" i="5"/>
  <c r="L45" i="5"/>
  <c r="M45" i="5"/>
  <c r="O45" i="5"/>
  <c r="Q45" i="5"/>
  <c r="R45" i="5" s="1"/>
  <c r="Z45" i="5"/>
  <c r="K45" i="5" s="1"/>
  <c r="AE45" i="5"/>
  <c r="H46" i="5"/>
  <c r="J46" i="5"/>
  <c r="L46" i="5"/>
  <c r="M46" i="5"/>
  <c r="O46" i="5"/>
  <c r="Q46" i="5"/>
  <c r="R46" i="5"/>
  <c r="Z46" i="5"/>
  <c r="K46" i="5" s="1"/>
  <c r="AE46" i="5"/>
  <c r="H47" i="5"/>
  <c r="J47" i="5"/>
  <c r="K47" i="5"/>
  <c r="L47" i="5"/>
  <c r="M47" i="5"/>
  <c r="O47" i="5"/>
  <c r="Q47" i="5"/>
  <c r="R47" i="5" s="1"/>
  <c r="AE47" i="5"/>
  <c r="H48" i="5"/>
  <c r="J48" i="5"/>
  <c r="L48" i="5"/>
  <c r="M48" i="5"/>
  <c r="O48" i="5"/>
  <c r="Q48" i="5"/>
  <c r="R48" i="5"/>
  <c r="S48" i="5"/>
  <c r="K48" i="5" s="1"/>
  <c r="Z48" i="5"/>
  <c r="AE48" i="5"/>
  <c r="H49" i="5"/>
  <c r="J49" i="5"/>
  <c r="K49" i="5"/>
  <c r="L49" i="5"/>
  <c r="M49" i="5"/>
  <c r="O49" i="5"/>
  <c r="Q49" i="5"/>
  <c r="R49" i="5" s="1"/>
  <c r="AE49" i="5"/>
  <c r="H50" i="5"/>
  <c r="J50" i="5"/>
  <c r="K50" i="5"/>
  <c r="L50" i="5"/>
  <c r="M50" i="5"/>
  <c r="O50" i="5"/>
  <c r="Q50" i="5"/>
  <c r="R50" i="5"/>
  <c r="AE50" i="5"/>
  <c r="H51" i="5"/>
  <c r="J51" i="5"/>
  <c r="L51" i="5"/>
  <c r="M51" i="5"/>
  <c r="O51" i="5"/>
  <c r="Q51" i="5"/>
  <c r="R51" i="5"/>
  <c r="Z51" i="5"/>
  <c r="K51" i="5" s="1"/>
  <c r="AA51" i="5"/>
  <c r="AE51" i="5"/>
  <c r="H52" i="5"/>
  <c r="J52" i="5"/>
  <c r="L52" i="5"/>
  <c r="M52" i="5"/>
  <c r="O52" i="5"/>
  <c r="Q52" i="5"/>
  <c r="R52" i="5"/>
  <c r="Z52" i="5"/>
  <c r="K52" i="5" s="1"/>
  <c r="AA52" i="5"/>
  <c r="AE52" i="5"/>
  <c r="H57" i="5"/>
  <c r="J57" i="5"/>
  <c r="K57" i="5"/>
  <c r="L57" i="5"/>
  <c r="M57" i="5"/>
  <c r="O57" i="5"/>
  <c r="Q57" i="5"/>
  <c r="R57" i="5" s="1"/>
  <c r="AE57" i="5"/>
  <c r="H58" i="5"/>
  <c r="J58" i="5"/>
  <c r="K58" i="5"/>
  <c r="L58" i="5"/>
  <c r="M58" i="5"/>
  <c r="O58" i="5"/>
  <c r="Q58" i="5"/>
  <c r="R58" i="5"/>
  <c r="AE58" i="5"/>
  <c r="H59" i="5"/>
  <c r="J59" i="5"/>
  <c r="K59" i="5"/>
  <c r="L59" i="5"/>
  <c r="M59" i="5"/>
  <c r="O59" i="5"/>
  <c r="Q59" i="5"/>
  <c r="R59" i="5"/>
  <c r="AE59" i="5"/>
  <c r="H60" i="5"/>
  <c r="J60" i="5"/>
  <c r="K60" i="5"/>
  <c r="L60" i="5"/>
  <c r="M60" i="5"/>
  <c r="O60" i="5"/>
  <c r="Q60" i="5"/>
  <c r="R60" i="5" s="1"/>
  <c r="AE60" i="5"/>
  <c r="H61" i="5"/>
  <c r="J61" i="5"/>
  <c r="K61" i="5"/>
  <c r="L61" i="5"/>
  <c r="M61" i="5"/>
  <c r="O61" i="5"/>
  <c r="Q61" i="5"/>
  <c r="R61" i="5" s="1"/>
  <c r="AE61" i="5"/>
  <c r="H62" i="5"/>
  <c r="J62" i="5"/>
  <c r="K62" i="5"/>
  <c r="L62" i="5"/>
  <c r="M62" i="5"/>
  <c r="O62" i="5"/>
  <c r="Q62" i="5"/>
  <c r="R62" i="5"/>
  <c r="AE62" i="5"/>
  <c r="H63" i="5"/>
  <c r="J63" i="5"/>
  <c r="K63" i="5"/>
  <c r="L63" i="5"/>
  <c r="M63" i="5"/>
  <c r="O63" i="5"/>
  <c r="Q63" i="5"/>
  <c r="R63" i="5"/>
  <c r="AE63" i="5"/>
  <c r="H64" i="5"/>
  <c r="J64" i="5"/>
  <c r="K64" i="5"/>
  <c r="L64" i="5"/>
  <c r="M64" i="5"/>
  <c r="O64" i="5"/>
  <c r="Q64" i="5"/>
  <c r="R64" i="5" s="1"/>
  <c r="AE64" i="5"/>
  <c r="H65" i="5"/>
  <c r="J65" i="5"/>
  <c r="K65" i="5"/>
  <c r="L65" i="5"/>
  <c r="M65" i="5"/>
  <c r="O65" i="5"/>
  <c r="Q65" i="5"/>
  <c r="R65" i="5" s="1"/>
  <c r="AE65" i="5"/>
  <c r="H66" i="5"/>
  <c r="J66" i="5"/>
  <c r="K66" i="5"/>
  <c r="L66" i="5"/>
  <c r="M66" i="5"/>
  <c r="O66" i="5"/>
  <c r="Q66" i="5"/>
  <c r="R66" i="5"/>
  <c r="AE66" i="5"/>
  <c r="H67" i="5"/>
  <c r="J67" i="5"/>
  <c r="K67" i="5"/>
  <c r="L67" i="5"/>
  <c r="M67" i="5"/>
  <c r="O67" i="5"/>
  <c r="Q67" i="5"/>
  <c r="R67" i="5"/>
  <c r="AE67" i="5"/>
  <c r="H68" i="5"/>
  <c r="J68" i="5"/>
  <c r="K68" i="5"/>
  <c r="L68" i="5"/>
  <c r="M68" i="5"/>
  <c r="O68" i="5"/>
  <c r="Q68" i="5"/>
  <c r="R68" i="5" s="1"/>
  <c r="AE68" i="5"/>
  <c r="H69" i="5"/>
  <c r="J69" i="5"/>
  <c r="K69" i="5"/>
  <c r="L69" i="5"/>
  <c r="M69" i="5"/>
  <c r="O69" i="5"/>
  <c r="Q69" i="5"/>
  <c r="R69" i="5" s="1"/>
  <c r="AE69" i="5"/>
  <c r="H70" i="5"/>
  <c r="J70" i="5"/>
  <c r="K70" i="5"/>
  <c r="L70" i="5"/>
  <c r="M70" i="5"/>
  <c r="O70" i="5"/>
  <c r="Q70" i="5"/>
  <c r="R70" i="5"/>
  <c r="AE70" i="5"/>
  <c r="H71" i="5"/>
  <c r="J71" i="5"/>
  <c r="K71" i="5"/>
  <c r="L71" i="5"/>
  <c r="M71" i="5"/>
  <c r="O71" i="5"/>
  <c r="Q71" i="5"/>
  <c r="R71" i="5"/>
  <c r="AE71" i="5"/>
  <c r="H72" i="5"/>
  <c r="J72" i="5"/>
  <c r="K72" i="5"/>
  <c r="L72" i="5"/>
  <c r="M72" i="5"/>
  <c r="O72" i="5"/>
  <c r="Q72" i="5"/>
  <c r="R72" i="5" s="1"/>
  <c r="AE72" i="5"/>
  <c r="H73" i="5"/>
  <c r="J73" i="5"/>
  <c r="K73" i="5"/>
  <c r="L73" i="5"/>
  <c r="M73" i="5"/>
  <c r="O73" i="5"/>
  <c r="Q73" i="5"/>
  <c r="R73" i="5" s="1"/>
  <c r="AE73" i="5"/>
  <c r="H74" i="5"/>
  <c r="J74" i="5"/>
  <c r="K74" i="5"/>
  <c r="L74" i="5"/>
  <c r="M74" i="5"/>
  <c r="O74" i="5"/>
  <c r="Q74" i="5"/>
  <c r="R74" i="5"/>
  <c r="AE74" i="5"/>
  <c r="H75" i="5"/>
  <c r="J75" i="5"/>
  <c r="K75" i="5"/>
  <c r="L75" i="5"/>
  <c r="M75" i="5"/>
  <c r="O75" i="5"/>
  <c r="Q75" i="5"/>
  <c r="R75" i="5"/>
  <c r="AE75" i="5"/>
  <c r="H76" i="5"/>
  <c r="J76" i="5"/>
  <c r="K76" i="5"/>
  <c r="L76" i="5"/>
  <c r="M76" i="5"/>
  <c r="O76" i="5"/>
  <c r="Q76" i="5"/>
  <c r="R76" i="5" s="1"/>
  <c r="AE76" i="5"/>
  <c r="H77" i="5"/>
  <c r="J77" i="5"/>
  <c r="K77" i="5"/>
  <c r="L77" i="5"/>
  <c r="M77" i="5"/>
  <c r="O77" i="5"/>
  <c r="Q77" i="5"/>
  <c r="R77" i="5" s="1"/>
  <c r="AE77" i="5"/>
  <c r="H78" i="5"/>
  <c r="J78" i="5"/>
  <c r="K78" i="5"/>
  <c r="L78" i="5"/>
  <c r="M78" i="5"/>
  <c r="O78" i="5"/>
  <c r="Q78" i="5"/>
  <c r="R78" i="5"/>
  <c r="AE78" i="5"/>
  <c r="H79" i="5"/>
  <c r="J79" i="5"/>
  <c r="K79" i="5"/>
  <c r="L79" i="5"/>
  <c r="M79" i="5"/>
  <c r="O79" i="5"/>
  <c r="Q79" i="5"/>
  <c r="R79" i="5"/>
  <c r="AE79" i="5"/>
  <c r="H80" i="5"/>
  <c r="J80" i="5"/>
  <c r="K80" i="5"/>
  <c r="L80" i="5"/>
  <c r="M80" i="5"/>
  <c r="O80" i="5"/>
  <c r="Q80" i="5"/>
  <c r="R80" i="5" s="1"/>
  <c r="AE80" i="5"/>
  <c r="H81" i="5"/>
  <c r="J81" i="5"/>
  <c r="K81" i="5"/>
  <c r="L81" i="5"/>
  <c r="M81" i="5"/>
  <c r="O81" i="5"/>
  <c r="O82" i="5" s="1"/>
  <c r="E93" i="5" s="1"/>
  <c r="Q81" i="5"/>
  <c r="R81" i="5" s="1"/>
  <c r="AE81" i="5"/>
  <c r="F82" i="5"/>
  <c r="H21" i="6"/>
  <c r="H65" i="6" s="1"/>
  <c r="J21" i="6"/>
  <c r="L21" i="6"/>
  <c r="M21" i="6"/>
  <c r="O21" i="6"/>
  <c r="Q21" i="6"/>
  <c r="R21" i="6" s="1"/>
  <c r="S21" i="6"/>
  <c r="Z21" i="6"/>
  <c r="AE21" i="6"/>
  <c r="AE65" i="6" s="1"/>
  <c r="Z65" i="6" s="1"/>
  <c r="H22" i="6"/>
  <c r="J22" i="6"/>
  <c r="K22" i="6"/>
  <c r="L22" i="6"/>
  <c r="M22" i="6"/>
  <c r="O22" i="6"/>
  <c r="Q22" i="6"/>
  <c r="R22" i="6" s="1"/>
  <c r="AE22" i="6"/>
  <c r="H23" i="6"/>
  <c r="J23" i="6"/>
  <c r="L23" i="6"/>
  <c r="M23" i="6"/>
  <c r="O23" i="6"/>
  <c r="Q23" i="6"/>
  <c r="R23" i="6" s="1"/>
  <c r="Z23" i="6"/>
  <c r="K23" i="6" s="1"/>
  <c r="AE23" i="6"/>
  <c r="H24" i="6"/>
  <c r="J24" i="6"/>
  <c r="L24" i="6"/>
  <c r="M24" i="6"/>
  <c r="O24" i="6"/>
  <c r="Q24" i="6"/>
  <c r="R24" i="6"/>
  <c r="Z24" i="6"/>
  <c r="K24" i="6" s="1"/>
  <c r="AA24" i="6"/>
  <c r="AE24" i="6"/>
  <c r="H25" i="6"/>
  <c r="J25" i="6"/>
  <c r="L25" i="6"/>
  <c r="M25" i="6"/>
  <c r="O25" i="6"/>
  <c r="Q25" i="6"/>
  <c r="R25" i="6"/>
  <c r="Z25" i="6"/>
  <c r="K25" i="6" s="1"/>
  <c r="AA25" i="6"/>
  <c r="AE25" i="6"/>
  <c r="H26" i="6"/>
  <c r="J26" i="6"/>
  <c r="K26" i="6"/>
  <c r="L26" i="6"/>
  <c r="M26" i="6"/>
  <c r="O26" i="6"/>
  <c r="Q26" i="6"/>
  <c r="R26" i="6" s="1"/>
  <c r="AE26" i="6"/>
  <c r="H27" i="6"/>
  <c r="J27" i="6"/>
  <c r="L27" i="6"/>
  <c r="M27" i="6"/>
  <c r="O27" i="6"/>
  <c r="Q27" i="6"/>
  <c r="R27" i="6"/>
  <c r="S27" i="6"/>
  <c r="Z27" i="6"/>
  <c r="AA27" i="6"/>
  <c r="AE27" i="6"/>
  <c r="H28" i="6"/>
  <c r="J28" i="6"/>
  <c r="L28" i="6"/>
  <c r="M28" i="6"/>
  <c r="O28" i="6"/>
  <c r="Q28" i="6"/>
  <c r="R28" i="6"/>
  <c r="S28" i="6"/>
  <c r="Z28" i="6"/>
  <c r="AA28" i="6"/>
  <c r="AE28" i="6"/>
  <c r="H29" i="6"/>
  <c r="J29" i="6"/>
  <c r="K29" i="6"/>
  <c r="L29" i="6"/>
  <c r="M29" i="6"/>
  <c r="O29" i="6"/>
  <c r="Q29" i="6"/>
  <c r="R29" i="6"/>
  <c r="AE29" i="6"/>
  <c r="H30" i="6"/>
  <c r="J30" i="6"/>
  <c r="L30" i="6"/>
  <c r="M30" i="6"/>
  <c r="O30" i="6"/>
  <c r="Q30" i="6"/>
  <c r="R30" i="6"/>
  <c r="S30" i="6"/>
  <c r="Z30" i="6"/>
  <c r="AA30" i="6"/>
  <c r="AE30" i="6"/>
  <c r="H31" i="6"/>
  <c r="J31" i="6"/>
  <c r="K31" i="6"/>
  <c r="L31" i="6"/>
  <c r="M31" i="6"/>
  <c r="O31" i="6"/>
  <c r="Q31" i="6"/>
  <c r="R31" i="6"/>
  <c r="AE31" i="6"/>
  <c r="H32" i="6"/>
  <c r="J32" i="6"/>
  <c r="K32" i="6"/>
  <c r="L32" i="6"/>
  <c r="M32" i="6"/>
  <c r="O32" i="6"/>
  <c r="Q32" i="6"/>
  <c r="R32" i="6" s="1"/>
  <c r="AE32" i="6"/>
  <c r="H33" i="6"/>
  <c r="J33" i="6"/>
  <c r="K33" i="6"/>
  <c r="L33" i="6"/>
  <c r="M33" i="6"/>
  <c r="O33" i="6"/>
  <c r="Q33" i="6"/>
  <c r="R33" i="6" s="1"/>
  <c r="AE33" i="6"/>
  <c r="H34" i="6"/>
  <c r="J34" i="6"/>
  <c r="L34" i="6"/>
  <c r="M34" i="6"/>
  <c r="O34" i="6"/>
  <c r="Q34" i="6"/>
  <c r="R34" i="6"/>
  <c r="S34" i="6"/>
  <c r="Z34" i="6"/>
  <c r="AA34" i="6"/>
  <c r="AE34" i="6"/>
  <c r="H35" i="6"/>
  <c r="J35" i="6"/>
  <c r="L35" i="6"/>
  <c r="M35" i="6"/>
  <c r="O35" i="6"/>
  <c r="Q35" i="6"/>
  <c r="R35" i="6"/>
  <c r="S35" i="6"/>
  <c r="Z35" i="6"/>
  <c r="AA35" i="6"/>
  <c r="AE35" i="6"/>
  <c r="H36" i="6"/>
  <c r="J36" i="6"/>
  <c r="K36" i="6"/>
  <c r="L36" i="6"/>
  <c r="M36" i="6"/>
  <c r="O36" i="6"/>
  <c r="Q36" i="6"/>
  <c r="R36" i="6"/>
  <c r="AE36" i="6"/>
  <c r="H37" i="6"/>
  <c r="J37" i="6"/>
  <c r="K37" i="6"/>
  <c r="L37" i="6"/>
  <c r="M37" i="6"/>
  <c r="O37" i="6"/>
  <c r="Q37" i="6"/>
  <c r="R37" i="6"/>
  <c r="AE37" i="6"/>
  <c r="H42" i="6"/>
  <c r="J42" i="6"/>
  <c r="K42" i="6"/>
  <c r="L42" i="6"/>
  <c r="M42" i="6"/>
  <c r="O42" i="6"/>
  <c r="Q42" i="6"/>
  <c r="R42" i="6"/>
  <c r="AE42" i="6"/>
  <c r="H43" i="6"/>
  <c r="J43" i="6"/>
  <c r="K43" i="6"/>
  <c r="L43" i="6"/>
  <c r="M43" i="6"/>
  <c r="O43" i="6"/>
  <c r="Q43" i="6"/>
  <c r="R43" i="6" s="1"/>
  <c r="AE43" i="6"/>
  <c r="H44" i="6"/>
  <c r="J44" i="6"/>
  <c r="K44" i="6"/>
  <c r="L44" i="6"/>
  <c r="M44" i="6"/>
  <c r="O44" i="6"/>
  <c r="Q44" i="6"/>
  <c r="R44" i="6"/>
  <c r="AE44" i="6"/>
  <c r="H45" i="6"/>
  <c r="J45" i="6"/>
  <c r="K45" i="6"/>
  <c r="L45" i="6"/>
  <c r="M45" i="6"/>
  <c r="O45" i="6"/>
  <c r="Q45" i="6"/>
  <c r="R45" i="6"/>
  <c r="AE45" i="6"/>
  <c r="H46" i="6"/>
  <c r="J46" i="6"/>
  <c r="K46" i="6"/>
  <c r="L46" i="6"/>
  <c r="M46" i="6"/>
  <c r="O46" i="6"/>
  <c r="Q46" i="6"/>
  <c r="R46" i="6" s="1"/>
  <c r="AE46" i="6"/>
  <c r="H47" i="6"/>
  <c r="J47" i="6"/>
  <c r="K47" i="6"/>
  <c r="L47" i="6"/>
  <c r="M47" i="6"/>
  <c r="O47" i="6"/>
  <c r="Q47" i="6"/>
  <c r="R47" i="6" s="1"/>
  <c r="AE47" i="6"/>
  <c r="H48" i="6"/>
  <c r="J48" i="6"/>
  <c r="K48" i="6"/>
  <c r="L48" i="6"/>
  <c r="M48" i="6"/>
  <c r="O48" i="6"/>
  <c r="Q48" i="6"/>
  <c r="R48" i="6"/>
  <c r="AE48" i="6"/>
  <c r="H49" i="6"/>
  <c r="J49" i="6"/>
  <c r="K49" i="6"/>
  <c r="L49" i="6"/>
  <c r="M49" i="6"/>
  <c r="O49" i="6"/>
  <c r="Q49" i="6"/>
  <c r="R49" i="6"/>
  <c r="AE49" i="6"/>
  <c r="H50" i="6"/>
  <c r="J50" i="6"/>
  <c r="K50" i="6"/>
  <c r="L50" i="6"/>
  <c r="M50" i="6"/>
  <c r="O50" i="6"/>
  <c r="Q50" i="6"/>
  <c r="R50" i="6"/>
  <c r="AE50" i="6"/>
  <c r="H51" i="6"/>
  <c r="J51" i="6"/>
  <c r="K51" i="6"/>
  <c r="L51" i="6"/>
  <c r="M51" i="6"/>
  <c r="O51" i="6"/>
  <c r="Q51" i="6"/>
  <c r="R51" i="6" s="1"/>
  <c r="AE51" i="6"/>
  <c r="H52" i="6"/>
  <c r="J52" i="6"/>
  <c r="K52" i="6"/>
  <c r="L52" i="6"/>
  <c r="M52" i="6"/>
  <c r="O52" i="6"/>
  <c r="Q52" i="6"/>
  <c r="R52" i="6"/>
  <c r="AE52" i="6"/>
  <c r="H53" i="6"/>
  <c r="J53" i="6"/>
  <c r="K53" i="6"/>
  <c r="L53" i="6"/>
  <c r="M53" i="6"/>
  <c r="O53" i="6"/>
  <c r="Q53" i="6"/>
  <c r="R53" i="6"/>
  <c r="AE53" i="6"/>
  <c r="H54" i="6"/>
  <c r="J54" i="6"/>
  <c r="K54" i="6"/>
  <c r="L54" i="6"/>
  <c r="M54" i="6"/>
  <c r="O54" i="6"/>
  <c r="Q54" i="6"/>
  <c r="R54" i="6" s="1"/>
  <c r="AE54" i="6"/>
  <c r="H55" i="6"/>
  <c r="J55" i="6"/>
  <c r="K55" i="6"/>
  <c r="L55" i="6"/>
  <c r="M55" i="6"/>
  <c r="O55" i="6"/>
  <c r="Q55" i="6"/>
  <c r="R55" i="6" s="1"/>
  <c r="AE55" i="6"/>
  <c r="H56" i="6"/>
  <c r="J56" i="6"/>
  <c r="K56" i="6"/>
  <c r="L56" i="6"/>
  <c r="M56" i="6"/>
  <c r="O56" i="6"/>
  <c r="Q56" i="6"/>
  <c r="R56" i="6"/>
  <c r="AE56" i="6"/>
  <c r="H57" i="6"/>
  <c r="J57" i="6"/>
  <c r="K57" i="6"/>
  <c r="L57" i="6"/>
  <c r="M57" i="6"/>
  <c r="O57" i="6"/>
  <c r="Q57" i="6"/>
  <c r="R57" i="6"/>
  <c r="AE57" i="6"/>
  <c r="H58" i="6"/>
  <c r="J58" i="6"/>
  <c r="K58" i="6"/>
  <c r="L58" i="6"/>
  <c r="M58" i="6"/>
  <c r="O58" i="6"/>
  <c r="Q58" i="6"/>
  <c r="R58" i="6"/>
  <c r="AE58" i="6"/>
  <c r="H59" i="6"/>
  <c r="J59" i="6"/>
  <c r="K59" i="6"/>
  <c r="L59" i="6"/>
  <c r="M59" i="6"/>
  <c r="O59" i="6"/>
  <c r="Q59" i="6"/>
  <c r="R59" i="6" s="1"/>
  <c r="AE59" i="6"/>
  <c r="H60" i="6"/>
  <c r="J60" i="6"/>
  <c r="K60" i="6"/>
  <c r="L60" i="6"/>
  <c r="M60" i="6"/>
  <c r="O60" i="6"/>
  <c r="Q60" i="6"/>
  <c r="R60" i="6"/>
  <c r="AE60" i="6"/>
  <c r="H61" i="6"/>
  <c r="J61" i="6"/>
  <c r="K61" i="6"/>
  <c r="L61" i="6"/>
  <c r="M61" i="6"/>
  <c r="O61" i="6"/>
  <c r="Q61" i="6"/>
  <c r="R61" i="6"/>
  <c r="AE61" i="6"/>
  <c r="H62" i="6"/>
  <c r="J62" i="6"/>
  <c r="K62" i="6"/>
  <c r="L62" i="6"/>
  <c r="M62" i="6"/>
  <c r="O62" i="6"/>
  <c r="Q62" i="6"/>
  <c r="R62" i="6" s="1"/>
  <c r="AE62" i="6"/>
  <c r="H63" i="6"/>
  <c r="J63" i="6"/>
  <c r="K63" i="6"/>
  <c r="L63" i="6"/>
  <c r="M63" i="6"/>
  <c r="O63" i="6"/>
  <c r="Q63" i="6"/>
  <c r="R63" i="6" s="1"/>
  <c r="AE63" i="6"/>
  <c r="H64" i="6"/>
  <c r="J64" i="6"/>
  <c r="K64" i="6"/>
  <c r="L64" i="6"/>
  <c r="M64" i="6"/>
  <c r="O64" i="6"/>
  <c r="Q64" i="6"/>
  <c r="R64" i="6"/>
  <c r="AE64" i="6"/>
  <c r="F65" i="6"/>
  <c r="K34" i="6" l="1"/>
  <c r="K28" i="6"/>
  <c r="K35" i="6"/>
  <c r="K27" i="6"/>
  <c r="K30" i="6"/>
  <c r="L65" i="6"/>
  <c r="E75" i="6" s="1"/>
  <c r="B79" i="6" s="1"/>
  <c r="O65" i="6"/>
  <c r="E76" i="6" s="1"/>
  <c r="J65" i="6"/>
  <c r="E74" i="6" s="1"/>
  <c r="K34" i="4"/>
  <c r="K36" i="5"/>
  <c r="K34" i="3"/>
  <c r="K21" i="6"/>
  <c r="E93" i="3"/>
  <c r="E96" i="3"/>
  <c r="E89" i="5"/>
  <c r="E95" i="5" s="1"/>
  <c r="E90" i="5"/>
  <c r="E94" i="5"/>
  <c r="E91" i="5"/>
  <c r="E91" i="3"/>
  <c r="E97" i="3" s="1"/>
  <c r="E92" i="3"/>
  <c r="E72" i="6"/>
  <c r="E78" i="6" s="1"/>
  <c r="E84" i="4"/>
  <c r="E87" i="4"/>
  <c r="E83" i="4"/>
  <c r="E77" i="6" l="1"/>
  <c r="E7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stage.maverick.bayer.us</author>
  </authors>
  <commentList>
    <comment ref="F22" authorId="0" shapeId="0" xr:uid="{00000000-0006-0000-0100-000001000000}">
      <text>
        <r>
          <rPr>
            <b/>
            <u/>
            <sz val="9"/>
            <color rgb="FF000000"/>
            <rFont val="Tahoma"/>
            <family val="2"/>
          </rPr>
          <t>Rebate Finder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Note: To qualify for this item's select rebate, you must add minimum of 4 units.</t>
        </r>
      </text>
    </comment>
    <comment ref="F33" authorId="0" shapeId="0" xr:uid="{00000000-0006-0000-0100-000002000000}">
      <text>
        <r>
          <rPr>
            <b/>
            <u/>
            <sz val="9"/>
            <color rgb="FF000000"/>
            <rFont val="Tahoma"/>
            <family val="2"/>
          </rPr>
          <t>Rebate Finder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Note: To qualify for this item's select rebate, you must add minimum of 2 units.</t>
        </r>
      </text>
    </comment>
    <comment ref="F34" authorId="0" shapeId="0" xr:uid="{00000000-0006-0000-0100-000003000000}">
      <text>
        <r>
          <rPr>
            <b/>
            <u/>
            <sz val="9"/>
            <color rgb="FF000000"/>
            <rFont val="Tahoma"/>
            <family val="2"/>
          </rPr>
          <t>Rebate Finder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Note: To qualify for this item's select rebate, you must add minimum of 2 units.</t>
        </r>
      </text>
    </comment>
    <comment ref="F36" authorId="0" shapeId="0" xr:uid="{00000000-0006-0000-0100-000004000000}">
      <text>
        <r>
          <rPr>
            <b/>
            <u/>
            <sz val="9"/>
            <color rgb="FF000000"/>
            <rFont val="Tahoma"/>
            <family val="2"/>
          </rPr>
          <t>Rebate Finder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Note: To qualify for this item's select rebate, you must add minimum of 1 units.</t>
        </r>
      </text>
    </comment>
    <comment ref="F41" authorId="0" shapeId="0" xr:uid="{00000000-0006-0000-0100-000005000000}">
      <text>
        <r>
          <rPr>
            <b/>
            <u/>
            <sz val="9"/>
            <color rgb="FF000000"/>
            <rFont val="Tahoma"/>
            <family val="2"/>
          </rPr>
          <t>Rebate Finder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Note: To qualify for this item's select rebate, you must add minimum of 4 units.</t>
        </r>
      </text>
    </comment>
    <comment ref="F42" authorId="0" shapeId="0" xr:uid="{00000000-0006-0000-0100-000006000000}">
      <text>
        <r>
          <rPr>
            <b/>
            <u/>
            <sz val="9"/>
            <color rgb="FF000000"/>
            <rFont val="Tahoma"/>
            <family val="2"/>
          </rPr>
          <t>Rebate Finder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Note: To qualify for this item's select rebate, you must add minimum of 4 units.</t>
        </r>
      </text>
    </comment>
    <comment ref="F48" authorId="0" shapeId="0" xr:uid="{00000000-0006-0000-0100-000007000000}">
      <text>
        <r>
          <rPr>
            <b/>
            <u/>
            <sz val="9"/>
            <color rgb="FF000000"/>
            <rFont val="Tahoma"/>
            <family val="2"/>
          </rPr>
          <t>Rebate Finder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Note: To qualify for this item's select rebate, you must add minimum of 10 units.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stage.maverick.bayer.us</author>
  </authors>
  <commentList>
    <comment ref="F22" authorId="0" shapeId="0" xr:uid="{00000000-0006-0000-0200-000001000000}">
      <text>
        <r>
          <rPr>
            <b/>
            <u/>
            <sz val="9"/>
            <color rgb="FF000000"/>
            <rFont val="Tahoma"/>
            <family val="2"/>
          </rPr>
          <t>Rebate Finder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Note: To qualify for this item's select rebate, you must add minimum of 4 units.</t>
        </r>
      </text>
    </comment>
    <comment ref="F31" authorId="0" shapeId="0" xr:uid="{00000000-0006-0000-0200-000002000000}">
      <text>
        <r>
          <rPr>
            <b/>
            <u/>
            <sz val="9"/>
            <color rgb="FF000000"/>
            <rFont val="Tahoma"/>
            <family val="2"/>
          </rPr>
          <t>Rebate Finder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Note: To qualify for this item's select rebate, you must add minimum of 2 units.</t>
        </r>
      </text>
    </comment>
    <comment ref="F32" authorId="0" shapeId="0" xr:uid="{00000000-0006-0000-0200-000003000000}">
      <text>
        <r>
          <rPr>
            <b/>
            <u/>
            <sz val="9"/>
            <color rgb="FF000000"/>
            <rFont val="Tahoma"/>
            <family val="2"/>
          </rPr>
          <t>Rebate Finder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Note: To qualify for this item's select rebate, you must add minimum of 2 units.</t>
        </r>
      </text>
    </comment>
    <comment ref="F34" authorId="0" shapeId="0" xr:uid="{00000000-0006-0000-0200-000004000000}">
      <text>
        <r>
          <rPr>
            <b/>
            <u/>
            <sz val="9"/>
            <color rgb="FF000000"/>
            <rFont val="Tahoma"/>
            <family val="2"/>
          </rPr>
          <t>Rebate Finder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Note: To qualify for this item's select rebate, you must add minimum of 1 units.</t>
        </r>
      </text>
    </comment>
    <comment ref="F44" authorId="0" shapeId="0" xr:uid="{00000000-0006-0000-0200-000005000000}">
      <text>
        <r>
          <rPr>
            <b/>
            <u/>
            <sz val="9"/>
            <color rgb="FF000000"/>
            <rFont val="Tahoma"/>
            <family val="2"/>
          </rPr>
          <t>Rebate Finder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Note: To qualify for this item's select rebate, you must add minimum of 10 units.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stage.maverick.bayer.us</author>
  </authors>
  <commentList>
    <comment ref="F22" authorId="0" shapeId="0" xr:uid="{00000000-0006-0000-0300-000001000000}">
      <text>
        <r>
          <rPr>
            <b/>
            <u/>
            <sz val="9"/>
            <color rgb="FF000000"/>
            <rFont val="Tahoma"/>
            <family val="2"/>
          </rPr>
          <t>Rebate Finder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Note: To qualify for this item's select rebate, you must add minimum of 4 units.</t>
        </r>
      </text>
    </comment>
    <comment ref="F33" authorId="0" shapeId="0" xr:uid="{00000000-0006-0000-0300-000002000000}">
      <text>
        <r>
          <rPr>
            <b/>
            <u/>
            <sz val="9"/>
            <color rgb="FF000000"/>
            <rFont val="Tahoma"/>
            <family val="2"/>
          </rPr>
          <t>Rebate Finder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Note: To qualify for this item's select rebate, you must add minimum of 2 units.</t>
        </r>
      </text>
    </comment>
    <comment ref="F34" authorId="0" shapeId="0" xr:uid="{00000000-0006-0000-0300-000003000000}">
      <text>
        <r>
          <rPr>
            <b/>
            <u/>
            <sz val="9"/>
            <color rgb="FF000000"/>
            <rFont val="Tahoma"/>
            <family val="2"/>
          </rPr>
          <t>Rebate Finder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Note: To qualify for this item's select rebate, you must add minimum of 2 units.</t>
        </r>
      </text>
    </comment>
    <comment ref="F36" authorId="0" shapeId="0" xr:uid="{00000000-0006-0000-0300-000004000000}">
      <text>
        <r>
          <rPr>
            <b/>
            <u/>
            <sz val="9"/>
            <color rgb="FF000000"/>
            <rFont val="Tahoma"/>
            <family val="2"/>
          </rPr>
          <t>Rebate Finder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Note: To qualify for this item's select rebate, you must add minimum of 1 units.</t>
        </r>
      </text>
    </comment>
    <comment ref="F41" authorId="0" shapeId="0" xr:uid="{00000000-0006-0000-0300-000005000000}">
      <text>
        <r>
          <rPr>
            <b/>
            <u/>
            <sz val="9"/>
            <color rgb="FF000000"/>
            <rFont val="Tahoma"/>
            <family val="2"/>
          </rPr>
          <t>Rebate Finder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Note: To qualify for this item's select rebate, you must add minimum of 4 units.</t>
        </r>
      </text>
    </comment>
    <comment ref="F42" authorId="0" shapeId="0" xr:uid="{00000000-0006-0000-0300-000006000000}">
      <text>
        <r>
          <rPr>
            <b/>
            <u/>
            <sz val="9"/>
            <color rgb="FF000000"/>
            <rFont val="Tahoma"/>
            <family val="2"/>
          </rPr>
          <t>Rebate Finder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Note: To qualify for this item's select rebate, you must add minimum of 4 units.</t>
        </r>
      </text>
    </comment>
    <comment ref="F48" authorId="0" shapeId="0" xr:uid="{00000000-0006-0000-0300-000007000000}">
      <text>
        <r>
          <rPr>
            <b/>
            <u/>
            <sz val="9"/>
            <color rgb="FF000000"/>
            <rFont val="Tahoma"/>
            <family val="2"/>
          </rPr>
          <t>Rebate Finder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Note: To qualify for this item's select rebate, you must add minimum of 10 units.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stage.maverick.bayer.us</author>
  </authors>
  <commentList>
    <comment ref="F21" authorId="0" shapeId="0" xr:uid="{00000000-0006-0000-0400-000001000000}">
      <text>
        <r>
          <rPr>
            <b/>
            <u/>
            <sz val="9"/>
            <color rgb="FF000000"/>
            <rFont val="Tahoma"/>
            <family val="2"/>
          </rPr>
          <t>Rebate Finder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Note: To qualify for this item's select rebate, you must add minimum of 4 units.</t>
        </r>
      </text>
    </comment>
    <comment ref="F27" authorId="0" shapeId="0" xr:uid="{00000000-0006-0000-0400-000002000000}">
      <text>
        <r>
          <rPr>
            <b/>
            <u/>
            <sz val="9"/>
            <color rgb="FF000000"/>
            <rFont val="Tahoma"/>
            <family val="2"/>
          </rPr>
          <t>Rebate Finder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Note: To qualify for this item's select rebate, you must add minimum of 2 units.</t>
        </r>
      </text>
    </comment>
    <comment ref="F28" authorId="0" shapeId="0" xr:uid="{00000000-0006-0000-0400-000003000000}">
      <text>
        <r>
          <rPr>
            <b/>
            <u/>
            <sz val="9"/>
            <color rgb="FF000000"/>
            <rFont val="Tahoma"/>
            <family val="2"/>
          </rPr>
          <t>Rebate Finder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Note: To qualify for this item's select rebate, you must add minimum of 2 units.</t>
        </r>
      </text>
    </comment>
    <comment ref="F30" authorId="0" shapeId="0" xr:uid="{00000000-0006-0000-0400-000004000000}">
      <text>
        <r>
          <rPr>
            <b/>
            <u/>
            <sz val="9"/>
            <color rgb="FF000000"/>
            <rFont val="Tahoma"/>
            <family val="2"/>
          </rPr>
          <t>Rebate Finder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Note: To qualify for this item's select rebate, you must add minimum of 1 units.</t>
        </r>
      </text>
    </comment>
    <comment ref="F34" authorId="0" shapeId="0" xr:uid="{00000000-0006-0000-0400-000005000000}">
      <text>
        <r>
          <rPr>
            <b/>
            <u/>
            <sz val="9"/>
            <color rgb="FF000000"/>
            <rFont val="Tahoma"/>
            <family val="2"/>
          </rPr>
          <t>Rebate Finder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Note: To qualify for this item's select rebate, you must add minimum of 4 units.</t>
        </r>
      </text>
    </comment>
    <comment ref="F35" authorId="0" shapeId="0" xr:uid="{00000000-0006-0000-0400-000006000000}">
      <text>
        <r>
          <rPr>
            <b/>
            <u/>
            <sz val="9"/>
            <color rgb="FF000000"/>
            <rFont val="Tahoma"/>
            <family val="2"/>
          </rPr>
          <t>Rebate Finder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Note: To qualify for this item's select rebate, you must add minimum of 4 units.</t>
        </r>
      </text>
    </comment>
  </commentList>
</comments>
</file>

<file path=xl/sharedStrings.xml><?xml version="1.0" encoding="utf-8"?>
<sst xmlns="http://schemas.openxmlformats.org/spreadsheetml/2006/main" count="1391" uniqueCount="266">
  <si>
    <t>REBATE ENGINE PLUGIN STATUS</t>
  </si>
  <si>
    <t>GRADUATED REBATES</t>
  </si>
  <si>
    <t>TOTAL PURCHASE</t>
  </si>
  <si>
    <t>PLUGIN ID</t>
  </si>
  <si>
    <t>PLUGIN NAME</t>
  </si>
  <si>
    <t>PLUGIN ACTIVE</t>
  </si>
  <si>
    <t>PRODUCT ID</t>
  </si>
  <si>
    <t>PRODUCT NAME</t>
  </si>
  <si>
    <t>UNIT NAME</t>
  </si>
  <si>
    <t>MINIMUM QTY</t>
  </si>
  <si>
    <t>MAXIMUM QTY</t>
  </si>
  <si>
    <t>REBATE %</t>
  </si>
  <si>
    <t>INCLUDE INDIVIDUAL ONLY</t>
  </si>
  <si>
    <t>Graduated Rebates</t>
  </si>
  <si>
    <t>bbcbe6c4-9047-423b-99f0-a244017febad</t>
  </si>
  <si>
    <t>Banol®</t>
  </si>
  <si>
    <t>2.5 gal. bottle</t>
  </si>
  <si>
    <t>Minimum Rebates</t>
  </si>
  <si>
    <t>70bae14d-c623-41e5-be1f-b253040df11b</t>
  </si>
  <si>
    <t>Interface® Stressgard®</t>
  </si>
  <si>
    <t>High Volume Rebates</t>
  </si>
  <si>
    <t>Light House Rebates</t>
  </si>
  <si>
    <t>e5cf993c-f4be-4b17-9a11-7be12af96da8</t>
  </si>
  <si>
    <t>Mirage® Stressgard®</t>
  </si>
  <si>
    <t>Multiple Brand Rebate</t>
  </si>
  <si>
    <t>1f082954-d8b1-47a3-9296-2f7fde5fd2c5</t>
  </si>
  <si>
    <t>Signature™ XTRA Stressgard®</t>
  </si>
  <si>
    <t>5.5 lb. bottle</t>
  </si>
  <si>
    <t>Category Mix Rebate</t>
  </si>
  <si>
    <t>Strategic Bundle Rebate</t>
  </si>
  <si>
    <t>08caf272-b02e-4190-848a-f1b1d33ebb26</t>
  </si>
  <si>
    <t>Specticle® G</t>
  </si>
  <si>
    <t>50 lb. bag</t>
  </si>
  <si>
    <t>Total Purchase Rebate</t>
  </si>
  <si>
    <t>Product Pairing Rebates</t>
  </si>
  <si>
    <t>Prior Year Total Rebate</t>
  </si>
  <si>
    <t>Sales Growth Rebate</t>
  </si>
  <si>
    <t>NOW Solutions 2021</t>
  </si>
  <si>
    <t>[Customer Name City, State]</t>
  </si>
  <si>
    <t>[Product Cart Name]</t>
  </si>
  <si>
    <r>
      <rPr>
        <b/>
        <sz val="10"/>
        <color rgb="FF000000"/>
        <rFont val="Calibri"/>
        <family val="2"/>
      </rPr>
      <t>Description</t>
    </r>
    <r>
      <rPr>
        <sz val="10"/>
        <color rgb="FF000000"/>
        <rFont val="Calibri"/>
        <family val="2"/>
      </rPr>
      <t>: [Insert Description]</t>
    </r>
  </si>
  <si>
    <r>
      <rPr>
        <b/>
        <sz val="10"/>
        <color rgb="FF000000"/>
        <rFont val="Calibri"/>
        <family val="2"/>
      </rPr>
      <t>Distributor/DSR</t>
    </r>
    <r>
      <rPr>
        <sz val="10"/>
        <color rgb="FF000000"/>
        <rFont val="Calibri"/>
        <family val="2"/>
      </rPr>
      <t>: [Insert Here]</t>
    </r>
  </si>
  <si>
    <r>
      <rPr>
        <b/>
        <sz val="10"/>
        <color rgb="FF000000"/>
        <rFont val="Calibri"/>
        <family val="2"/>
      </rPr>
      <t>MBR#</t>
    </r>
    <r>
      <rPr>
        <sz val="10"/>
        <color rgb="FF000000"/>
        <rFont val="Calibri"/>
        <family val="2"/>
      </rPr>
      <t>: [Insert Here]</t>
    </r>
  </si>
  <si>
    <r>
      <rPr>
        <b/>
        <sz val="10"/>
        <color rgb="FF000000"/>
        <rFont val="Calibri"/>
        <family val="2"/>
      </rPr>
      <t>Last Updated</t>
    </r>
    <r>
      <rPr>
        <sz val="10"/>
        <color rgb="FF000000"/>
        <rFont val="Calibri"/>
        <family val="2"/>
      </rPr>
      <t>: 7/31/2021 12:14:23 PM</t>
    </r>
  </si>
  <si>
    <r>
      <rPr>
        <b/>
        <sz val="10"/>
        <color rgb="FF000000"/>
        <rFont val="Calibri"/>
        <family val="2"/>
      </rPr>
      <t>Created For</t>
    </r>
    <r>
      <rPr>
        <sz val="10"/>
        <color rgb="FF000000"/>
        <rFont val="Calibri"/>
        <family val="2"/>
      </rPr>
      <t>: [Insert Here]</t>
    </r>
  </si>
  <si>
    <t>Product Cart Line Items</t>
  </si>
  <si>
    <t>Agronomic Solutions</t>
  </si>
  <si>
    <r>
      <rPr>
        <sz val="14"/>
        <color rgb="FF064121"/>
        <rFont val="Calibri"/>
        <family val="2"/>
      </rPr>
      <t xml:space="preserve">Add the </t>
    </r>
    <r>
      <rPr>
        <b/>
        <u val="double"/>
        <sz val="14"/>
        <color rgb="FF064121"/>
        <rFont val="Calibri"/>
        <family val="2"/>
      </rPr>
      <t>quantity</t>
    </r>
    <r>
      <rPr>
        <sz val="14"/>
        <color rgb="FF064121"/>
        <rFont val="Calibri"/>
        <family val="2"/>
      </rPr>
      <t xml:space="preserve"> of the agronomic solutions to the #units column for a rebate estimate.</t>
    </r>
  </si>
  <si>
    <t>AGENCY PRODUCTS</t>
  </si>
  <si>
    <t>REBATE ELIGIBLE</t>
  </si>
  <si>
    <t>UNIT SIZE</t>
  </si>
  <si>
    <t># UNITS</t>
  </si>
  <si>
    <t>INSEASON PRICE</t>
  </si>
  <si>
    <t>INSEASON SUBTOTAL</t>
  </si>
  <si>
    <t>PRICE/UNIT</t>
  </si>
  <si>
    <t>SUBTOTAL</t>
  </si>
  <si>
    <t>REBATE AMOUNT</t>
  </si>
  <si>
    <t>NET PRICE/UNIT</t>
  </si>
  <si>
    <t>REBATE PRICE/UNIT</t>
  </si>
  <si>
    <t>TOTAL AFTER REBATE</t>
  </si>
  <si>
    <t>USE RATE / 1,000 FT2</t>
  </si>
  <si>
    <t>USE RATE / ACRE</t>
  </si>
  <si>
    <t>TOTAL ACRES TREATED</t>
  </si>
  <si>
    <t>GRADUATED</t>
  </si>
  <si>
    <t>MINIMUM</t>
  </si>
  <si>
    <t>HIGH VOLUME</t>
  </si>
  <si>
    <t>LIGHTHOUSE</t>
  </si>
  <si>
    <t>MULTIPLE BRAND</t>
  </si>
  <si>
    <t>CATEGORY MIX</t>
  </si>
  <si>
    <t>STRATEGIC BUNDLE</t>
  </si>
  <si>
    <t>PAIRING</t>
  </si>
  <si>
    <t>PRIOR YEAR</t>
  </si>
  <si>
    <t>SALES GROWTH</t>
  </si>
  <si>
    <t>MAX REBATE</t>
  </si>
  <si>
    <t>GRADUATED RANGE</t>
  </si>
  <si>
    <t>New Innovation Solution - Densicor</t>
  </si>
  <si>
    <t>549204dd-4d35-443d-933e-1b6fecb6338d</t>
  </si>
  <si>
    <t>Altus SL</t>
  </si>
  <si>
    <t>64 oz. bottle</t>
  </si>
  <si>
    <t>Rebates!I4:K4</t>
  </si>
  <si>
    <t>c7bd22d2-8a58-4fa3-99f1-7d4802401c08</t>
  </si>
  <si>
    <t>Bayleton® FLO</t>
  </si>
  <si>
    <t>541c0a70-a5c3-4665-ac65-274a6bbef5f7</t>
  </si>
  <si>
    <t>Celsius® WG</t>
  </si>
  <si>
    <t>10 oz. bottle</t>
  </si>
  <si>
    <t>b49e6a56-4067-49e0-99c9-2d0e7006100e</t>
  </si>
  <si>
    <t>Celsius® XTRA</t>
  </si>
  <si>
    <t>Agency Products</t>
  </si>
  <si>
    <t>GAL/OZ/LB</t>
  </si>
  <si>
    <t>TOTAL ACRES</t>
  </si>
  <si>
    <t>03211b71-991c-4cfe-8e7a-e26b7b4bf851</t>
  </si>
  <si>
    <t>Chipco® Signature™ (1-2 units)</t>
  </si>
  <si>
    <t>8 X 5.5 lb. case</t>
  </si>
  <si>
    <t>Densicor® 51 oz. bottle</t>
  </si>
  <si>
    <t>51 oz. bottle</t>
  </si>
  <si>
    <t>204 FL OZ.</t>
  </si>
  <si>
    <t>Chipco® Signature™ (3+ units)</t>
  </si>
  <si>
    <t>Tetrino® 1 gal. bottle</t>
  </si>
  <si>
    <t>1 gal. bottle</t>
  </si>
  <si>
    <t>1 GAL.</t>
  </si>
  <si>
    <t>cf80fc95-84cf-4a43-ad35-566d841d8092</t>
  </si>
  <si>
    <t>Densicor®</t>
  </si>
  <si>
    <t>Non-Agency Products</t>
  </si>
  <si>
    <t>bb9fa8d0-6e6d-47ce-b0ff-339138b8c32c</t>
  </si>
  <si>
    <t>Exteris® Stressgard®</t>
  </si>
  <si>
    <t>No non-agency products in this solution.</t>
  </si>
  <si>
    <t>04bb62fc-7d6d-4969-8102-baaae9d7ab8f</t>
  </si>
  <si>
    <t>Fiata® Stressgard®</t>
  </si>
  <si>
    <t>93aff452-86a9-4dad-b6b1-b3eca2654a1a</t>
  </si>
  <si>
    <t>Indemnify® (1-5 units)</t>
  </si>
  <si>
    <t>17.1 oz. bottle</t>
  </si>
  <si>
    <t>Indemnify® (6+ units)</t>
  </si>
  <si>
    <t>New Innovation Solution - Tetrino</t>
  </si>
  <si>
    <t>Interface® Stressgard® (1-5 units)</t>
  </si>
  <si>
    <t>Rebates!I5:K6</t>
  </si>
  <si>
    <t>Interface® Stressgard® (6+ units)</t>
  </si>
  <si>
    <t>3ecfc763-a4fa-4f2c-8555-2d2b85247f56</t>
  </si>
  <si>
    <t>Merit® 75 WSP Mega Mini</t>
  </si>
  <si>
    <t>110 X 1.6 oz. drum</t>
  </si>
  <si>
    <t>Rebates!I7:K7</t>
  </si>
  <si>
    <t>45ab34ad-77f7-4bb9-9ade-ac3a8c834e8e</t>
  </si>
  <si>
    <t>Revolver®</t>
  </si>
  <si>
    <t>87 oz. bottle</t>
  </si>
  <si>
    <t>00d257b7-e804-4171-8234-1010e37380b4</t>
  </si>
  <si>
    <t>Ronstar® FLO (1-11 units)</t>
  </si>
  <si>
    <t>51 FL OZ.</t>
  </si>
  <si>
    <t>Ronstar® FLO (12-39 units)</t>
  </si>
  <si>
    <t>4 GAL.</t>
  </si>
  <si>
    <t>Ronstar® FLO (40+ units)</t>
  </si>
  <si>
    <t>Signature™ XTRA Stressgard® (1-23 units)</t>
  </si>
  <si>
    <t>Rebates!I8:K9</t>
  </si>
  <si>
    <t>Signature™ XTRA Stressgard® (24+ units)</t>
  </si>
  <si>
    <t>e5befeaa-55cf-4e18-a5f9-2906e26590d4</t>
  </si>
  <si>
    <t>Specticle® FLO (1-3 units)</t>
  </si>
  <si>
    <t xml:space="preserve">1 gal. bottle </t>
  </si>
  <si>
    <t>Specticle® FLO (4-13 units)</t>
  </si>
  <si>
    <t>PRE3 Solution</t>
  </si>
  <si>
    <t>Specticle® FLO (14-25 units)</t>
  </si>
  <si>
    <t>Specticle® FLO (26+ units)</t>
  </si>
  <si>
    <t>8fa6c6ef-d4bb-4047-a4e8-3a7aebfa2cf1</t>
  </si>
  <si>
    <t>Specticle® FLO</t>
  </si>
  <si>
    <t>18 oz. bottle</t>
  </si>
  <si>
    <t>Rebates!I10:K10</t>
  </si>
  <si>
    <t>eb8e2e44-8d24-45e5-893d-bf9f4e4e5cd9</t>
  </si>
  <si>
    <t>Tartan® Stressgard® (1-5 units)</t>
  </si>
  <si>
    <t>Tartan® Stressgard® (6+ units)</t>
  </si>
  <si>
    <t xml:space="preserve">Specticle® FLO 1 gal. bottle </t>
  </si>
  <si>
    <t>2 GAL.</t>
  </si>
  <si>
    <t>cba7eaa1-e077-4a0c-9051-b29968ffc0f6</t>
  </si>
  <si>
    <t>Tetrino®</t>
  </si>
  <si>
    <t>Tribute® Total 6 oz. bottle</t>
  </si>
  <si>
    <t>6 oz. bottle</t>
  </si>
  <si>
    <t>36 OZ.</t>
  </si>
  <si>
    <t>1ffb0cf0-5773-44db-b7a2-a3852a9b7c08</t>
  </si>
  <si>
    <t>Topchoice®</t>
  </si>
  <si>
    <t>372f672d-e4a1-4dae-9406-dc204b119e0a</t>
  </si>
  <si>
    <t>Tribute® Total</t>
  </si>
  <si>
    <t>NON-AGENCY PRODUCTS</t>
  </si>
  <si>
    <t>Pythium Solution</t>
  </si>
  <si>
    <t>079e45c8-d3d1-4618-a542-d3b3477937fc</t>
  </si>
  <si>
    <t>26GT®</t>
  </si>
  <si>
    <t>a8b807d9-6e7c-43da-97f7-9d24807a8a9c</t>
  </si>
  <si>
    <t>Acclaim® Extra</t>
  </si>
  <si>
    <t>af482759-f66c-464d-ac5f-441ecefd4617</t>
  </si>
  <si>
    <t>1 pint bottle</t>
  </si>
  <si>
    <t>7956fbac-af4a-4747-8bf5-aebc72eac622</t>
  </si>
  <si>
    <t>Armada® 50 WDG</t>
  </si>
  <si>
    <t>2 lb. bottle</t>
  </si>
  <si>
    <t>567c6059-b013-4892-a34a-e2b32c2b6365</t>
  </si>
  <si>
    <t>Chipco® 26019 FLO</t>
  </si>
  <si>
    <t>Banol® 2.5 gal. bottle</t>
  </si>
  <si>
    <t>10 GAL.</t>
  </si>
  <si>
    <t>1fa552b6-96c0-4541-bed3-e8d2d9c2acdd</t>
  </si>
  <si>
    <t>Chipco® Sevin®</t>
  </si>
  <si>
    <t>Chipco® Signature™ 8 X 5.5 lb. case</t>
  </si>
  <si>
    <t>132 LB.</t>
  </si>
  <si>
    <t>84dfc340-31a6-44f6-8036-7bafda4046b9</t>
  </si>
  <si>
    <t>Chipco® Signature™</t>
  </si>
  <si>
    <t>5.5 lb. bag</t>
  </si>
  <si>
    <t>b357401c-a798-4687-8b1a-f17fc0e1b8e6</t>
  </si>
  <si>
    <t>Compass® 50 WG</t>
  </si>
  <si>
    <t>1 lb. bottle</t>
  </si>
  <si>
    <t>43f88333-aa95-4475-921e-66f79bcd0968</t>
  </si>
  <si>
    <t>Coretect®</t>
  </si>
  <si>
    <t>250 tablet bottle</t>
  </si>
  <si>
    <t>1dc573e6-01f7-49e2-895e-d77a7493d7c0</t>
  </si>
  <si>
    <t>Dylox® 420 SL</t>
  </si>
  <si>
    <t>a63748a9-4cef-4b3d-acab-343fc381f2a3</t>
  </si>
  <si>
    <t>Dylox® 6.2 GR</t>
  </si>
  <si>
    <t>30 lb. bag</t>
  </si>
  <si>
    <t>Pythium XTRA Solution</t>
  </si>
  <si>
    <t>81f25f62-c7a5-424a-bc95-a312e7d6b23a</t>
  </si>
  <si>
    <t>Forbid®</t>
  </si>
  <si>
    <t>8 oz. bottle</t>
  </si>
  <si>
    <t>5aa1eb98-ef18-4472-8f2c-518bdf8c5f4f</t>
  </si>
  <si>
    <t>Merit® 0.5 G</t>
  </si>
  <si>
    <t>7a2e67b5-936d-471d-9338-b44133342863</t>
  </si>
  <si>
    <t>Merit® 2F</t>
  </si>
  <si>
    <t>fa7c449b-a709-4983-8e10-a89adf365744</t>
  </si>
  <si>
    <t>Merit® WP</t>
  </si>
  <si>
    <t>4 x 1.6 oz. bag</t>
  </si>
  <si>
    <t>fc309c31-5dc4-4467-8188-7fed19174648</t>
  </si>
  <si>
    <t>Prograss®</t>
  </si>
  <si>
    <t>fb5272cc-648a-4edf-ac50-6ba21a90b946</t>
  </si>
  <si>
    <t>ProStar® 70 WG</t>
  </si>
  <si>
    <t>3 lb. bottle</t>
  </si>
  <si>
    <t>53fdd107-43a9-40a2-b52d-232b5e4abb44</t>
  </si>
  <si>
    <t>Proxy®</t>
  </si>
  <si>
    <t>Signature™ XTRA Stressgard® 5.5 lb. bottle</t>
  </si>
  <si>
    <t>d2c53017-6358-45e5-843e-aab1d753a7f1</t>
  </si>
  <si>
    <t>32 oz. bottle</t>
  </si>
  <si>
    <t>d2ced483-c28f-46de-b0e1-4c60da2a8121</t>
  </si>
  <si>
    <t>Rhapsody®</t>
  </si>
  <si>
    <t>a94de498-8827-45f8-80a7-37767aae9472</t>
  </si>
  <si>
    <t xml:space="preserve">Sencor® 75 </t>
  </si>
  <si>
    <t>5 lb. Bottle</t>
  </si>
  <si>
    <t>3915a8f5-e760-461c-ae35-f07656ab4f7c</t>
  </si>
  <si>
    <t>Specticle® Total</t>
  </si>
  <si>
    <t>144 oz. bottle</t>
  </si>
  <si>
    <t>69db8c39-a6fc-4d9c-8218-3a9e92712340</t>
  </si>
  <si>
    <t>Tempo® Ultra SC</t>
  </si>
  <si>
    <t>240 ml bottle</t>
  </si>
  <si>
    <t>Utility Solution</t>
  </si>
  <si>
    <t>f319346d-803f-4023-b606-77b8ba516258</t>
  </si>
  <si>
    <t>900 ml bottle</t>
  </si>
  <si>
    <t>c5f1b3e3-09bc-4aeb-bd34-988861baa3a5</t>
  </si>
  <si>
    <t>Tempo® Ultra WP</t>
  </si>
  <si>
    <t>420 gram jar</t>
  </si>
  <si>
    <t>c2bc61ad-9709-4f8a-8a17-6ac0289d8c0f</t>
  </si>
  <si>
    <t>Tempo® Ultra WSP</t>
  </si>
  <si>
    <t>8 x 50 gram packets</t>
  </si>
  <si>
    <t>Product Cart Summary</t>
  </si>
  <si>
    <t>Interface® Stressgard® 2.5 gal. bottle</t>
  </si>
  <si>
    <t>15 GAL.</t>
  </si>
  <si>
    <t>Mirage® Stressgard® 2.5 gal. bottle</t>
  </si>
  <si>
    <t>5 GAL.</t>
  </si>
  <si>
    <t>Disclaimer. The Product Cart summary is provided as an estimate only. Final values will be based on a comparisons of the invoices and product cart. See program rules and conditions.</t>
  </si>
  <si>
    <t>In Season Total</t>
  </si>
  <si>
    <t>Volume Discount</t>
  </si>
  <si>
    <t>Program Purchases</t>
  </si>
  <si>
    <t>Rebate</t>
  </si>
  <si>
    <t>Net Total after Rebates</t>
  </si>
  <si>
    <t>Rebate %</t>
  </si>
  <si>
    <t>Total Savings %</t>
  </si>
  <si>
    <t>Note: Qualified purchases up to $31,999 may receive an additional 1% early purchase incentive. Qualified purchases over $32,000 include the 1% early purchase incentive. Qualified purchases from NOW Solutions will be added to qualified purchases from Fall Solutions to determine the tier rebate.</t>
  </si>
  <si>
    <t>NOW Solutions 2021 - California</t>
  </si>
  <si>
    <r>
      <rPr>
        <b/>
        <sz val="10"/>
        <color rgb="FF000000"/>
        <rFont val="Calibri"/>
        <family val="2"/>
      </rPr>
      <t>Description</t>
    </r>
    <r>
      <rPr>
        <sz val="10"/>
        <color rgb="FF000000"/>
        <rFont val="Calibri"/>
        <family val="2"/>
      </rPr>
      <t>: [Insert Description]</t>
    </r>
  </si>
  <si>
    <r>
      <rPr>
        <b/>
        <sz val="10"/>
        <color rgb="FF000000"/>
        <rFont val="Calibri"/>
        <family val="2"/>
      </rPr>
      <t>Distributor/DSR</t>
    </r>
    <r>
      <rPr>
        <sz val="10"/>
        <color rgb="FF000000"/>
        <rFont val="Calibri"/>
        <family val="2"/>
      </rPr>
      <t>: [Insert Here]</t>
    </r>
  </si>
  <si>
    <r>
      <rPr>
        <b/>
        <sz val="10"/>
        <color rgb="FF000000"/>
        <rFont val="Calibri"/>
        <family val="2"/>
      </rPr>
      <t>MBR#</t>
    </r>
    <r>
      <rPr>
        <sz val="10"/>
        <color rgb="FF000000"/>
        <rFont val="Calibri"/>
        <family val="2"/>
      </rPr>
      <t>: [Insert Here]</t>
    </r>
  </si>
  <si>
    <r>
      <rPr>
        <b/>
        <sz val="10"/>
        <color rgb="FF000000"/>
        <rFont val="Calibri"/>
        <family val="2"/>
      </rPr>
      <t>Last Updated</t>
    </r>
    <r>
      <rPr>
        <sz val="10"/>
        <color rgb="FF000000"/>
        <rFont val="Calibri"/>
        <family val="2"/>
      </rPr>
      <t>: 7/31/2021 12:14:23 PM</t>
    </r>
  </si>
  <si>
    <r>
      <rPr>
        <b/>
        <sz val="10"/>
        <color rgb="FF000000"/>
        <rFont val="Calibri"/>
        <family val="2"/>
      </rPr>
      <t>Created For</t>
    </r>
    <r>
      <rPr>
        <sz val="10"/>
        <color rgb="FF000000"/>
        <rFont val="Calibri"/>
        <family val="2"/>
      </rPr>
      <t>: [Insert Here]</t>
    </r>
  </si>
  <si>
    <r>
      <rPr>
        <sz val="14"/>
        <color rgb="FF064121"/>
        <rFont val="Calibri"/>
        <family val="2"/>
      </rPr>
      <t xml:space="preserve">Add the </t>
    </r>
    <r>
      <rPr>
        <b/>
        <u val="double"/>
        <sz val="14"/>
        <color rgb="FF064121"/>
        <rFont val="Calibri"/>
        <family val="2"/>
      </rPr>
      <t>quantity</t>
    </r>
    <r>
      <rPr>
        <sz val="14"/>
        <color rgb="FF064121"/>
        <rFont val="Calibri"/>
        <family val="2"/>
      </rPr>
      <t xml:space="preserve"> of the agronomic solutions to the #units column for a rebate estimate.</t>
    </r>
  </si>
  <si>
    <t>NOW Solutions 2021 - Washington</t>
  </si>
  <si>
    <r>
      <rPr>
        <b/>
        <sz val="10"/>
        <color rgb="FF000000"/>
        <rFont val="Calibri"/>
        <family val="2"/>
      </rPr>
      <t>Description</t>
    </r>
    <r>
      <rPr>
        <sz val="10"/>
        <color rgb="FF000000"/>
        <rFont val="Calibri"/>
        <family val="2"/>
      </rPr>
      <t>: [Insert Description]</t>
    </r>
  </si>
  <si>
    <r>
      <rPr>
        <b/>
        <sz val="10"/>
        <color rgb="FF000000"/>
        <rFont val="Calibri"/>
        <family val="2"/>
      </rPr>
      <t>Distributor/DSR</t>
    </r>
    <r>
      <rPr>
        <sz val="10"/>
        <color rgb="FF000000"/>
        <rFont val="Calibri"/>
        <family val="2"/>
      </rPr>
      <t>: [Insert Here]</t>
    </r>
  </si>
  <si>
    <r>
      <rPr>
        <b/>
        <sz val="10"/>
        <color rgb="FF000000"/>
        <rFont val="Calibri"/>
        <family val="2"/>
      </rPr>
      <t>MBR#</t>
    </r>
    <r>
      <rPr>
        <sz val="10"/>
        <color rgb="FF000000"/>
        <rFont val="Calibri"/>
        <family val="2"/>
      </rPr>
      <t>: [Insert Here]</t>
    </r>
  </si>
  <si>
    <r>
      <rPr>
        <b/>
        <sz val="10"/>
        <color rgb="FF000000"/>
        <rFont val="Calibri"/>
        <family val="2"/>
      </rPr>
      <t>Last Updated</t>
    </r>
    <r>
      <rPr>
        <sz val="10"/>
        <color rgb="FF000000"/>
        <rFont val="Calibri"/>
        <family val="2"/>
      </rPr>
      <t>: 7/31/2021 12:14:24 PM</t>
    </r>
  </si>
  <si>
    <r>
      <rPr>
        <b/>
        <sz val="10"/>
        <color rgb="FF000000"/>
        <rFont val="Calibri"/>
        <family val="2"/>
      </rPr>
      <t>Created For</t>
    </r>
    <r>
      <rPr>
        <sz val="10"/>
        <color rgb="FF000000"/>
        <rFont val="Calibri"/>
        <family val="2"/>
      </rPr>
      <t>: [Insert Here]</t>
    </r>
  </si>
  <si>
    <r>
      <rPr>
        <sz val="14"/>
        <color rgb="FF064121"/>
        <rFont val="Calibri"/>
        <family val="2"/>
      </rPr>
      <t xml:space="preserve">Add the </t>
    </r>
    <r>
      <rPr>
        <b/>
        <u val="double"/>
        <sz val="14"/>
        <color rgb="FF064121"/>
        <rFont val="Calibri"/>
        <family val="2"/>
      </rPr>
      <t>quantity</t>
    </r>
    <r>
      <rPr>
        <sz val="14"/>
        <color rgb="FF064121"/>
        <rFont val="Calibri"/>
        <family val="2"/>
      </rPr>
      <t xml:space="preserve"> of the agronomic solutions to the #units column for a rebate estimate.</t>
    </r>
  </si>
  <si>
    <t>NOW Solutions 2021 - NY - Nassau &amp; Suffolk Counties</t>
  </si>
  <si>
    <r>
      <rPr>
        <b/>
        <sz val="10"/>
        <color rgb="FF000000"/>
        <rFont val="Calibri"/>
        <family val="2"/>
      </rPr>
      <t>Description</t>
    </r>
    <r>
      <rPr>
        <sz val="10"/>
        <color rgb="FF000000"/>
        <rFont val="Calibri"/>
        <family val="2"/>
      </rPr>
      <t>: [Insert Description]</t>
    </r>
  </si>
  <si>
    <r>
      <rPr>
        <b/>
        <sz val="10"/>
        <color rgb="FF000000"/>
        <rFont val="Calibri"/>
        <family val="2"/>
      </rPr>
      <t>Distributor/DSR</t>
    </r>
    <r>
      <rPr>
        <sz val="10"/>
        <color rgb="FF000000"/>
        <rFont val="Calibri"/>
        <family val="2"/>
      </rPr>
      <t>: [Insert Here]</t>
    </r>
  </si>
  <si>
    <r>
      <rPr>
        <b/>
        <sz val="10"/>
        <color rgb="FF000000"/>
        <rFont val="Calibri"/>
        <family val="2"/>
      </rPr>
      <t>MBR#</t>
    </r>
    <r>
      <rPr>
        <sz val="10"/>
        <color rgb="FF000000"/>
        <rFont val="Calibri"/>
        <family val="2"/>
      </rPr>
      <t>: [Insert Here]</t>
    </r>
  </si>
  <si>
    <r>
      <rPr>
        <b/>
        <sz val="10"/>
        <color rgb="FF000000"/>
        <rFont val="Calibri"/>
        <family val="2"/>
      </rPr>
      <t>Last Updated</t>
    </r>
    <r>
      <rPr>
        <sz val="10"/>
        <color rgb="FF000000"/>
        <rFont val="Calibri"/>
        <family val="2"/>
      </rPr>
      <t>: 7/31/2021 12:14:25 PM</t>
    </r>
  </si>
  <si>
    <r>
      <rPr>
        <b/>
        <sz val="10"/>
        <color rgb="FF000000"/>
        <rFont val="Calibri"/>
        <family val="2"/>
      </rPr>
      <t>Created For</t>
    </r>
    <r>
      <rPr>
        <sz val="10"/>
        <color rgb="FF000000"/>
        <rFont val="Calibri"/>
        <family val="2"/>
      </rPr>
      <t>: [Insert Here]</t>
    </r>
  </si>
  <si>
    <r>
      <rPr>
        <sz val="14"/>
        <color rgb="FF064121"/>
        <rFont val="Calibri"/>
        <family val="2"/>
      </rPr>
      <t xml:space="preserve">Add the </t>
    </r>
    <r>
      <rPr>
        <b/>
        <u val="double"/>
        <sz val="14"/>
        <color rgb="FF064121"/>
        <rFont val="Calibri"/>
        <family val="2"/>
      </rPr>
      <t>quantity</t>
    </r>
    <r>
      <rPr>
        <sz val="14"/>
        <color rgb="FF064121"/>
        <rFont val="Calibri"/>
        <family val="2"/>
      </rPr>
      <t xml:space="preserve"> of the agronomic solutions to the #units column for a rebate estimate.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</si>
</sst>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\ #,##0.00"/>
    <numFmt numFmtId="165" formatCode="0.00##########"/>
    <numFmt numFmtId="166" formatCode="0.00######"/>
  </numFmts>
  <fonts count="14" x14ac:knownFonts="1"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24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16"/>
      <color rgb="FF000000"/>
      <name val="Calibri"/>
      <family val="2"/>
    </font>
    <font>
      <sz val="14"/>
      <color rgb="FF064121"/>
      <name val="Calibri"/>
      <family val="2"/>
    </font>
    <font>
      <b/>
      <sz val="14"/>
      <color rgb="FF000000"/>
      <name val="Calibri"/>
      <family val="2"/>
    </font>
    <font>
      <sz val="10"/>
      <color rgb="FFFFFFFF"/>
      <name val="Calibri"/>
      <family val="2"/>
    </font>
    <font>
      <b/>
      <u val="double"/>
      <sz val="14"/>
      <color rgb="FF064121"/>
      <name val="Calibri"/>
      <family val="2"/>
    </font>
    <font>
      <b/>
      <u/>
      <sz val="9"/>
      <color rgb="FF000000"/>
      <name val="Tahoma"/>
      <family val="2"/>
    </font>
    <font>
      <sz val="9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66B512"/>
      </patternFill>
    </fill>
    <fill>
      <patternFill patternType="solid">
        <fgColor rgb="FFDEE2E6"/>
      </patternFill>
    </fill>
    <fill>
      <patternFill patternType="solid">
        <fgColor rgb="FFFAFAFA"/>
      </patternFill>
    </fill>
    <fill>
      <patternFill patternType="solid">
        <fgColor rgb="FFFFFFCC"/>
      </patternFill>
    </fill>
    <fill>
      <patternFill patternType="solid">
        <fgColor rgb="FF064121"/>
      </patternFill>
    </fill>
  </fills>
  <borders count="22">
    <border>
      <left/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/>
      <right/>
      <top/>
      <bottom style="thick">
        <color rgb="FF064121"/>
      </bottom>
      <diagonal/>
    </border>
    <border>
      <left style="thin">
        <color rgb="FF777777"/>
      </left>
      <right style="thin">
        <color rgb="FF064121"/>
      </right>
      <top style="thin">
        <color rgb="FF777777"/>
      </top>
      <bottom/>
      <diagonal/>
    </border>
    <border>
      <left style="thin">
        <color rgb="FF064121"/>
      </left>
      <right style="thin">
        <color rgb="FF064121"/>
      </right>
      <top style="thin">
        <color rgb="FF777777"/>
      </top>
      <bottom/>
      <diagonal/>
    </border>
    <border>
      <left style="thin">
        <color rgb="FF064121"/>
      </left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 style="thin">
        <color rgb="FF064121"/>
      </right>
      <top/>
      <bottom style="thick">
        <color rgb="FF66B512"/>
      </bottom>
      <diagonal/>
    </border>
    <border>
      <left style="thin">
        <color rgb="FF064121"/>
      </left>
      <right style="thin">
        <color rgb="FF064121"/>
      </right>
      <top/>
      <bottom style="thick">
        <color rgb="FF66B512"/>
      </bottom>
      <diagonal/>
    </border>
    <border>
      <left style="thin">
        <color rgb="FF064121"/>
      </left>
      <right style="thin">
        <color rgb="FF777777"/>
      </right>
      <top/>
      <bottom style="thick">
        <color rgb="FF66B512"/>
      </bottom>
      <diagonal/>
    </border>
    <border>
      <left style="thin">
        <color rgb="FF777777"/>
      </left>
      <right style="thin">
        <color rgb="FF064121"/>
      </right>
      <top/>
      <bottom style="thin">
        <color rgb="FF000000"/>
      </bottom>
      <diagonal/>
    </border>
    <border>
      <left style="thin">
        <color rgb="FF064121"/>
      </left>
      <right style="thin">
        <color rgb="FF064121"/>
      </right>
      <top/>
      <bottom style="thin">
        <color rgb="FF000000"/>
      </bottom>
      <diagonal/>
    </border>
    <border>
      <left style="thin">
        <color rgb="FF064121"/>
      </left>
      <right style="thin">
        <color rgb="FF777777"/>
      </right>
      <top/>
      <bottom style="thin">
        <color rgb="FF000000"/>
      </bottom>
      <diagonal/>
    </border>
    <border>
      <left style="thin">
        <color rgb="FF777777"/>
      </left>
      <right style="thin">
        <color rgb="FF064121"/>
      </right>
      <top/>
      <bottom style="thin">
        <color rgb="FF777777"/>
      </bottom>
      <diagonal/>
    </border>
    <border>
      <left style="thin">
        <color rgb="FF064121"/>
      </left>
      <right style="thin">
        <color rgb="FF064121"/>
      </right>
      <top/>
      <bottom style="thin">
        <color rgb="FF777777"/>
      </bottom>
      <diagonal/>
    </border>
    <border>
      <left style="thin">
        <color rgb="FF064121"/>
      </left>
      <right style="thin">
        <color rgb="FF777777"/>
      </right>
      <top/>
      <bottom style="thin">
        <color rgb="FF777777"/>
      </bottom>
      <diagonal/>
    </border>
    <border>
      <left/>
      <right/>
      <top/>
      <bottom style="thick">
        <color rgb="FF66B512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 style="thin">
        <color rgb="FF777777"/>
      </right>
      <top/>
      <bottom/>
      <diagonal/>
    </border>
    <border>
      <left style="thin">
        <color rgb="FF777777"/>
      </left>
      <right style="thin">
        <color rgb="FF777777"/>
      </right>
      <top style="thick">
        <color rgb="FF66B512"/>
      </top>
      <bottom style="thin">
        <color rgb="FF777777"/>
      </bottom>
      <diagonal/>
    </border>
    <border>
      <left/>
      <right/>
      <top style="thick">
        <color rgb="FF66B512"/>
      </top>
      <bottom/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rgb="FF777777"/>
      </right>
      <top style="thin">
        <color rgb="FF777777"/>
      </top>
      <bottom style="thin">
        <color rgb="FF777777"/>
      </bottom>
      <diagonal/>
    </border>
  </borders>
  <cellStyleXfs count="1">
    <xf numFmtId="0" fontId="0" fillId="0" borderId="0" applyBorder="0"/>
  </cellStyleXfs>
  <cellXfs count="148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/>
    <xf numFmtId="1" fontId="1" fillId="2" borderId="0" xfId="0" applyNumberFormat="1" applyFont="1" applyFill="1" applyAlignment="1" applyProtection="1"/>
    <xf numFmtId="10" fontId="1" fillId="2" borderId="0" xfId="0" applyNumberFormat="1" applyFont="1" applyFill="1" applyAlignment="1" applyProtection="1"/>
    <xf numFmtId="164" fontId="1" fillId="2" borderId="0" xfId="0" applyNumberFormat="1" applyFont="1" applyFill="1" applyAlignment="1" applyProtection="1"/>
    <xf numFmtId="0" fontId="3" fillId="4" borderId="1" xfId="0" applyNumberFormat="1" applyFont="1" applyFill="1" applyBorder="1" applyAlignment="1" applyProtection="1">
      <alignment horizontal="center" vertical="center" wrapText="1"/>
    </xf>
    <xf numFmtId="1" fontId="3" fillId="4" borderId="1" xfId="0" applyNumberFormat="1" applyFont="1" applyFill="1" applyBorder="1" applyAlignment="1" applyProtection="1">
      <alignment horizontal="center" vertical="center" wrapText="1"/>
    </xf>
    <xf numFmtId="10" fontId="3" fillId="4" borderId="1" xfId="0" applyNumberFormat="1" applyFont="1" applyFill="1" applyBorder="1" applyAlignment="1" applyProtection="1">
      <alignment horizontal="center" vertical="center" wrapText="1"/>
    </xf>
    <xf numFmtId="164" fontId="3" fillId="4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/>
    <xf numFmtId="1" fontId="1" fillId="2" borderId="1" xfId="0" applyNumberFormat="1" applyFont="1" applyFill="1" applyBorder="1" applyAlignment="1" applyProtection="1"/>
    <xf numFmtId="165" fontId="1" fillId="2" borderId="1" xfId="0" applyNumberFormat="1" applyFont="1" applyFill="1" applyBorder="1" applyAlignment="1" applyProtection="1"/>
    <xf numFmtId="165" fontId="1" fillId="2" borderId="0" xfId="0" applyNumberFormat="1" applyFont="1" applyFill="1" applyAlignment="1" applyProtection="1"/>
    <xf numFmtId="164" fontId="1" fillId="2" borderId="1" xfId="0" applyNumberFormat="1" applyFont="1" applyFill="1" applyBorder="1" applyAlignment="1" applyProtection="1"/>
    <xf numFmtId="10" fontId="1" fillId="2" borderId="1" xfId="0" applyNumberFormat="1" applyFont="1" applyFill="1" applyBorder="1" applyAlignment="1" applyProtection="1"/>
    <xf numFmtId="166" fontId="1" fillId="2" borderId="0" xfId="0" applyNumberFormat="1" applyFont="1" applyFill="1" applyAlignment="1" applyProtection="1"/>
    <xf numFmtId="2" fontId="1" fillId="2" borderId="0" xfId="0" applyNumberFormat="1" applyFont="1" applyFill="1" applyAlignment="1" applyProtection="1"/>
    <xf numFmtId="0" fontId="1" fillId="2" borderId="2" xfId="0" applyNumberFormat="1" applyFont="1" applyFill="1" applyBorder="1" applyAlignment="1" applyProtection="1"/>
    <xf numFmtId="1" fontId="1" fillId="2" borderId="2" xfId="0" applyNumberFormat="1" applyFont="1" applyFill="1" applyBorder="1" applyAlignment="1" applyProtection="1"/>
    <xf numFmtId="166" fontId="1" fillId="2" borderId="2" xfId="0" applyNumberFormat="1" applyFont="1" applyFill="1" applyBorder="1" applyAlignment="1" applyProtection="1"/>
    <xf numFmtId="2" fontId="1" fillId="2" borderId="2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/>
    <xf numFmtId="164" fontId="3" fillId="3" borderId="1" xfId="0" applyNumberFormat="1" applyFont="1" applyFill="1" applyBorder="1" applyAlignment="1" applyProtection="1"/>
    <xf numFmtId="166" fontId="3" fillId="3" borderId="1" xfId="0" applyNumberFormat="1" applyFont="1" applyFill="1" applyBorder="1" applyAlignment="1" applyProtection="1"/>
    <xf numFmtId="0" fontId="1" fillId="5" borderId="1" xfId="0" applyNumberFormat="1" applyFont="1" applyFill="1" applyBorder="1" applyAlignment="1" applyProtection="1">
      <alignment horizontal="center"/>
    </xf>
    <xf numFmtId="0" fontId="1" fillId="5" borderId="1" xfId="0" applyNumberFormat="1" applyFont="1" applyFill="1" applyBorder="1" applyAlignment="1" applyProtection="1"/>
    <xf numFmtId="1" fontId="1" fillId="6" borderId="1" xfId="0" applyNumberFormat="1" applyFont="1" applyFill="1" applyBorder="1" applyAlignment="1" applyProtection="1">
      <protection locked="0"/>
    </xf>
    <xf numFmtId="164" fontId="1" fillId="5" borderId="1" xfId="0" applyNumberFormat="1" applyFont="1" applyFill="1" applyBorder="1" applyAlignment="1" applyProtection="1"/>
    <xf numFmtId="165" fontId="1" fillId="5" borderId="1" xfId="0" applyNumberFormat="1" applyFont="1" applyFill="1" applyBorder="1" applyAlignment="1" applyProtection="1"/>
    <xf numFmtId="166" fontId="1" fillId="6" borderId="1" xfId="0" applyNumberFormat="1" applyFont="1" applyFill="1" applyBorder="1" applyAlignment="1" applyProtection="1">
      <protection locked="0"/>
    </xf>
    <xf numFmtId="2" fontId="1" fillId="5" borderId="1" xfId="0" applyNumberFormat="1" applyFont="1" applyFill="1" applyBorder="1" applyAlignment="1" applyProtection="1"/>
    <xf numFmtId="166" fontId="1" fillId="5" borderId="1" xfId="0" applyNumberFormat="1" applyFont="1" applyFill="1" applyBorder="1" applyAlignment="1" applyProtection="1"/>
    <xf numFmtId="0" fontId="2" fillId="4" borderId="1" xfId="0" applyNumberFormat="1" applyFont="1" applyFill="1" applyBorder="1" applyAlignment="1" applyProtection="1">
      <alignment horizontal="left" wrapText="1" indent="1"/>
    </xf>
    <xf numFmtId="0" fontId="2" fillId="4" borderId="1" xfId="0" applyNumberFormat="1" applyFont="1" applyFill="1" applyBorder="1" applyAlignment="1" applyProtection="1">
      <alignment horizontal="center" wrapText="1"/>
    </xf>
    <xf numFmtId="1" fontId="2" fillId="4" borderId="1" xfId="0" applyNumberFormat="1" applyFont="1" applyFill="1" applyBorder="1" applyAlignment="1" applyProtection="1">
      <alignment horizontal="center" wrapText="1"/>
    </xf>
    <xf numFmtId="166" fontId="2" fillId="4" borderId="1" xfId="0" applyNumberFormat="1" applyFont="1" applyFill="1" applyBorder="1" applyAlignment="1" applyProtection="1">
      <alignment horizontal="center" wrapText="1"/>
    </xf>
    <xf numFmtId="2" fontId="2" fillId="4" borderId="1" xfId="0" applyNumberFormat="1" applyFont="1" applyFill="1" applyBorder="1" applyAlignment="1" applyProtection="1">
      <alignment horizontal="center" wrapText="1"/>
    </xf>
    <xf numFmtId="0" fontId="1" fillId="5" borderId="1" xfId="0" applyNumberFormat="1" applyFont="1" applyFill="1" applyBorder="1" applyAlignment="1" applyProtection="1">
      <alignment horizontal="left" indent="2"/>
    </xf>
    <xf numFmtId="0" fontId="1" fillId="5" borderId="1" xfId="0" applyNumberFormat="1" applyFont="1" applyFill="1" applyBorder="1" applyAlignment="1" applyProtection="1">
      <alignment horizontal="left" indent="1"/>
    </xf>
    <xf numFmtId="1" fontId="1" fillId="5" borderId="1" xfId="0" applyNumberFormat="1" applyFont="1" applyFill="1" applyBorder="1" applyAlignment="1" applyProtection="1">
      <alignment horizontal="center"/>
    </xf>
    <xf numFmtId="166" fontId="1" fillId="5" borderId="1" xfId="0" applyNumberFormat="1" applyFont="1" applyFill="1" applyBorder="1" applyAlignment="1" applyProtection="1">
      <alignment horizontal="center"/>
    </xf>
    <xf numFmtId="164" fontId="1" fillId="6" borderId="1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/>
    <xf numFmtId="1" fontId="1" fillId="4" borderId="1" xfId="0" applyNumberFormat="1" applyFont="1" applyFill="1" applyBorder="1" applyAlignment="1" applyProtection="1"/>
    <xf numFmtId="164" fontId="1" fillId="4" borderId="1" xfId="0" applyNumberFormat="1" applyFont="1" applyFill="1" applyBorder="1" applyAlignment="1" applyProtection="1"/>
    <xf numFmtId="10" fontId="1" fillId="4" borderId="1" xfId="0" applyNumberFormat="1" applyFont="1" applyFill="1" applyBorder="1" applyAlignment="1" applyProtection="1"/>
    <xf numFmtId="166" fontId="1" fillId="4" borderId="1" xfId="0" applyNumberFormat="1" applyFont="1" applyFill="1" applyBorder="1" applyAlignment="1" applyProtection="1"/>
    <xf numFmtId="2" fontId="1" fillId="4" borderId="1" xfId="0" applyNumberFormat="1" applyFont="1" applyFill="1" applyBorder="1" applyAlignment="1" applyProtection="1"/>
    <xf numFmtId="164" fontId="1" fillId="2" borderId="21" xfId="0" applyNumberFormat="1" applyFont="1" applyFill="1" applyBorder="1" applyAlignment="1" applyProtection="1"/>
    <xf numFmtId="164" fontId="1" fillId="4" borderId="21" xfId="0" applyNumberFormat="1" applyFont="1" applyFill="1" applyBorder="1" applyAlignment="1" applyProtection="1"/>
    <xf numFmtId="10" fontId="1" fillId="4" borderId="21" xfId="0" applyNumberFormat="1" applyFont="1" applyFill="1" applyBorder="1" applyAlignment="1" applyProtection="1"/>
    <xf numFmtId="10" fontId="1" fillId="2" borderId="21" xfId="0" applyNumberFormat="1" applyFont="1" applyFill="1" applyBorder="1" applyAlignment="1" applyProtection="1"/>
    <xf numFmtId="164" fontId="1" fillId="5" borderId="1" xfId="0" applyNumberFormat="1" applyFont="1" applyFill="1" applyBorder="1" applyAlignment="1" applyProtection="1">
      <protection locked="0"/>
    </xf>
    <xf numFmtId="0" fontId="2" fillId="3" borderId="1" xfId="0" applyNumberFormat="1" applyFont="1" applyFill="1" applyBorder="1" applyAlignment="1" applyProtection="1"/>
    <xf numFmtId="1" fontId="2" fillId="3" borderId="1" xfId="0" applyNumberFormat="1" applyFont="1" applyFill="1" applyBorder="1" applyAlignment="1" applyProtection="1"/>
    <xf numFmtId="10" fontId="2" fillId="3" borderId="1" xfId="0" applyNumberFormat="1" applyFont="1" applyFill="1" applyBorder="1" applyAlignment="1" applyProtection="1"/>
    <xf numFmtId="164" fontId="2" fillId="3" borderId="1" xfId="0" applyNumberFormat="1" applyFont="1" applyFill="1" applyBorder="1" applyAlignment="1" applyProtection="1"/>
    <xf numFmtId="0" fontId="1" fillId="4" borderId="20" xfId="0" applyNumberFormat="1" applyFont="1" applyFill="1" applyBorder="1" applyAlignment="1" applyProtection="1"/>
    <xf numFmtId="0" fontId="1" fillId="4" borderId="1" xfId="0" applyNumberFormat="1" applyFont="1" applyFill="1" applyBorder="1" applyAlignment="1" applyProtection="1"/>
    <xf numFmtId="0" fontId="1" fillId="2" borderId="20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/>
    <xf numFmtId="0" fontId="10" fillId="7" borderId="1" xfId="0" applyNumberFormat="1" applyFont="1" applyFill="1" applyBorder="1" applyAlignment="1" applyProtection="1">
      <alignment vertical="center" wrapText="1"/>
    </xf>
    <xf numFmtId="0" fontId="1" fillId="2" borderId="1" xfId="0" applyNumberFormat="1" applyFont="1" applyFill="1" applyBorder="1" applyAlignment="1" applyProtection="1">
      <alignment vertical="top" wrapText="1"/>
    </xf>
    <xf numFmtId="0" fontId="1" fillId="5" borderId="18" xfId="0" applyNumberFormat="1" applyFont="1" applyFill="1" applyBorder="1" applyAlignment="1" applyProtection="1"/>
    <xf numFmtId="1" fontId="1" fillId="5" borderId="18" xfId="0" applyNumberFormat="1" applyFont="1" applyFill="1" applyBorder="1" applyAlignment="1" applyProtection="1"/>
    <xf numFmtId="166" fontId="1" fillId="5" borderId="18" xfId="0" applyNumberFormat="1" applyFont="1" applyFill="1" applyBorder="1" applyAlignment="1" applyProtection="1"/>
    <xf numFmtId="2" fontId="1" fillId="5" borderId="18" xfId="0" applyNumberFormat="1" applyFont="1" applyFill="1" applyBorder="1" applyAlignment="1" applyProtection="1"/>
    <xf numFmtId="0" fontId="1" fillId="5" borderId="1" xfId="0" applyNumberFormat="1" applyFont="1" applyFill="1" applyBorder="1" applyAlignment="1" applyProtection="1">
      <alignment horizontal="left" indent="2"/>
    </xf>
    <xf numFmtId="1" fontId="1" fillId="5" borderId="1" xfId="0" applyNumberFormat="1" applyFont="1" applyFill="1" applyBorder="1" applyAlignment="1" applyProtection="1">
      <alignment horizontal="left" indent="2"/>
    </xf>
    <xf numFmtId="166" fontId="1" fillId="5" borderId="1" xfId="0" applyNumberFormat="1" applyFont="1" applyFill="1" applyBorder="1" applyAlignment="1" applyProtection="1">
      <alignment horizontal="left" indent="2"/>
    </xf>
    <xf numFmtId="2" fontId="1" fillId="5" borderId="1" xfId="0" applyNumberFormat="1" applyFont="1" applyFill="1" applyBorder="1" applyAlignment="1" applyProtection="1">
      <alignment horizontal="left" indent="2"/>
    </xf>
    <xf numFmtId="0" fontId="9" fillId="5" borderId="16" xfId="0" applyNumberFormat="1" applyFont="1" applyFill="1" applyBorder="1" applyAlignment="1" applyProtection="1">
      <alignment horizontal="left" wrapText="1" indent="1"/>
    </xf>
    <xf numFmtId="1" fontId="9" fillId="5" borderId="16" xfId="0" applyNumberFormat="1" applyFont="1" applyFill="1" applyBorder="1" applyAlignment="1" applyProtection="1">
      <alignment horizontal="left" wrapText="1" indent="1"/>
    </xf>
    <xf numFmtId="166" fontId="9" fillId="5" borderId="16" xfId="0" applyNumberFormat="1" applyFont="1" applyFill="1" applyBorder="1" applyAlignment="1" applyProtection="1">
      <alignment horizontal="left" wrapText="1" indent="1"/>
    </xf>
    <xf numFmtId="2" fontId="9" fillId="5" borderId="16" xfId="0" applyNumberFormat="1" applyFont="1" applyFill="1" applyBorder="1" applyAlignment="1" applyProtection="1">
      <alignment horizontal="left" wrapText="1" indent="1"/>
    </xf>
    <xf numFmtId="0" fontId="1" fillId="5" borderId="17" xfId="0" applyNumberFormat="1" applyFont="1" applyFill="1" applyBorder="1" applyAlignment="1" applyProtection="1">
      <alignment horizontal="left" vertical="center" wrapText="1" indent="1"/>
    </xf>
    <xf numFmtId="1" fontId="1" fillId="5" borderId="17" xfId="0" applyNumberFormat="1" applyFont="1" applyFill="1" applyBorder="1" applyAlignment="1" applyProtection="1">
      <alignment horizontal="left" vertical="center" wrapText="1" indent="1"/>
    </xf>
    <xf numFmtId="166" fontId="1" fillId="5" borderId="17" xfId="0" applyNumberFormat="1" applyFont="1" applyFill="1" applyBorder="1" applyAlignment="1" applyProtection="1">
      <alignment horizontal="left" vertical="center" wrapText="1" indent="1"/>
    </xf>
    <xf numFmtId="2" fontId="1" fillId="5" borderId="17" xfId="0" applyNumberFormat="1" applyFont="1" applyFill="1" applyBorder="1" applyAlignment="1" applyProtection="1">
      <alignment horizontal="left" vertical="center" wrapText="1" indent="1"/>
    </xf>
    <xf numFmtId="0" fontId="7" fillId="2" borderId="15" xfId="0" applyNumberFormat="1" applyFont="1" applyFill="1" applyBorder="1" applyAlignment="1" applyProtection="1"/>
    <xf numFmtId="0" fontId="1" fillId="2" borderId="19" xfId="0" applyNumberFormat="1" applyFont="1" applyFill="1" applyBorder="1" applyAlignment="1" applyProtection="1">
      <alignment vertical="center" wrapText="1"/>
    </xf>
    <xf numFmtId="166" fontId="2" fillId="4" borderId="1" xfId="0" applyNumberFormat="1" applyFont="1" applyFill="1" applyBorder="1" applyAlignment="1" applyProtection="1">
      <alignment horizontal="center" vertical="center" wrapText="1"/>
    </xf>
    <xf numFmtId="166" fontId="3" fillId="4" borderId="1" xfId="0" applyNumberFormat="1" applyFont="1" applyFill="1" applyBorder="1" applyAlignment="1" applyProtection="1">
      <alignment horizontal="center" vertical="center" wrapText="1"/>
    </xf>
    <xf numFmtId="166" fontId="1" fillId="5" borderId="1" xfId="0" applyNumberFormat="1" applyFont="1" applyFill="1" applyBorder="1" applyAlignment="1" applyProtection="1"/>
    <xf numFmtId="164" fontId="2" fillId="4" borderId="1" xfId="0" applyNumberFormat="1" applyFont="1" applyFill="1" applyBorder="1" applyAlignment="1" applyProtection="1">
      <alignment horizontal="center" vertical="center" wrapText="1"/>
    </xf>
    <xf numFmtId="164" fontId="3" fillId="4" borderId="1" xfId="0" applyNumberFormat="1" applyFont="1" applyFill="1" applyBorder="1" applyAlignment="1" applyProtection="1">
      <alignment horizontal="center" vertical="center" wrapText="1"/>
    </xf>
    <xf numFmtId="164" fontId="1" fillId="5" borderId="1" xfId="0" applyNumberFormat="1" applyFont="1" applyFill="1" applyBorder="1" applyAlignment="1" applyProtection="1"/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1" fillId="5" borderId="1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/>
    <xf numFmtId="1" fontId="3" fillId="3" borderId="1" xfId="0" applyNumberFormat="1" applyFont="1" applyFill="1" applyBorder="1" applyAlignment="1" applyProtection="1"/>
    <xf numFmtId="164" fontId="3" fillId="3" borderId="1" xfId="0" applyNumberFormat="1" applyFont="1" applyFill="1" applyBorder="1" applyAlignment="1" applyProtection="1"/>
    <xf numFmtId="10" fontId="3" fillId="3" borderId="1" xfId="0" applyNumberFormat="1" applyFont="1" applyFill="1" applyBorder="1" applyAlignment="1" applyProtection="1"/>
    <xf numFmtId="166" fontId="3" fillId="3" borderId="1" xfId="0" applyNumberFormat="1" applyFont="1" applyFill="1" applyBorder="1" applyAlignment="1" applyProtection="1"/>
    <xf numFmtId="2" fontId="3" fillId="3" borderId="1" xfId="0" applyNumberFormat="1" applyFont="1" applyFill="1" applyBorder="1" applyAlignment="1" applyProtection="1"/>
    <xf numFmtId="0" fontId="1" fillId="5" borderId="1" xfId="0" applyNumberFormat="1" applyFont="1" applyFill="1" applyBorder="1" applyAlignment="1" applyProtection="1">
      <alignment horizontal="center"/>
    </xf>
    <xf numFmtId="0" fontId="2" fillId="4" borderId="1" xfId="0" applyNumberFormat="1" applyFont="1" applyFill="1" applyBorder="1" applyAlignment="1" applyProtection="1">
      <alignment horizontal="center" vertical="center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1" fontId="3" fillId="6" borderId="1" xfId="0" applyNumberFormat="1" applyFont="1" applyFill="1" applyBorder="1" applyAlignment="1" applyProtection="1">
      <alignment horizontal="center" vertical="center" wrapText="1"/>
    </xf>
    <xf numFmtId="1" fontId="1" fillId="6" borderId="1" xfId="0" applyNumberFormat="1" applyFont="1" applyFill="1" applyBorder="1" applyAlignment="1" applyProtection="1"/>
    <xf numFmtId="164" fontId="2" fillId="4" borderId="1" xfId="0" applyNumberFormat="1" applyFont="1" applyFill="1" applyBorder="1" applyAlignment="1" applyProtection="1">
      <alignment horizontal="center" vertical="center"/>
    </xf>
    <xf numFmtId="164" fontId="3" fillId="6" borderId="1" xfId="0" applyNumberFormat="1" applyFont="1" applyFill="1" applyBorder="1" applyAlignment="1" applyProtection="1">
      <alignment horizontal="center" vertical="center" wrapText="1"/>
    </xf>
    <xf numFmtId="164" fontId="1" fillId="6" borderId="1" xfId="0" applyNumberFormat="1" applyFont="1" applyFill="1" applyBorder="1" applyAlignment="1" applyProtection="1"/>
    <xf numFmtId="10" fontId="2" fillId="4" borderId="1" xfId="0" applyNumberFormat="1" applyFont="1" applyFill="1" applyBorder="1" applyAlignment="1" applyProtection="1">
      <alignment horizontal="center" vertical="center"/>
    </xf>
    <xf numFmtId="165" fontId="3" fillId="4" borderId="1" xfId="0" applyNumberFormat="1" applyFont="1" applyFill="1" applyBorder="1" applyAlignment="1" applyProtection="1">
      <alignment horizontal="center" vertical="center" wrapText="1"/>
    </xf>
    <xf numFmtId="165" fontId="1" fillId="5" borderId="1" xfId="0" applyNumberFormat="1" applyFont="1" applyFill="1" applyBorder="1" applyAlignment="1" applyProtection="1"/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6" borderId="1" xfId="0" applyNumberFormat="1" applyFont="1" applyFill="1" applyBorder="1" applyAlignment="1" applyProtection="1">
      <alignment horizontal="center" vertical="center" wrapText="1"/>
    </xf>
    <xf numFmtId="166" fontId="1" fillId="6" borderId="1" xfId="0" applyNumberFormat="1" applyFont="1" applyFill="1" applyBorder="1" applyAlignment="1" applyProtection="1"/>
    <xf numFmtId="2" fontId="2" fillId="4" borderId="1" xfId="0" applyNumberFormat="1" applyFont="1" applyFill="1" applyBorder="1" applyAlignment="1" applyProtection="1">
      <alignment horizontal="center" vertical="center" wrapText="1"/>
    </xf>
    <xf numFmtId="2" fontId="3" fillId="4" borderId="1" xfId="0" applyNumberFormat="1" applyFont="1" applyFill="1" applyBorder="1" applyAlignment="1" applyProtection="1">
      <alignment horizontal="center" vertical="center" wrapText="1"/>
    </xf>
    <xf numFmtId="2" fontId="1" fillId="5" borderId="1" xfId="0" applyNumberFormat="1" applyFont="1" applyFill="1" applyBorder="1" applyAlignment="1" applyProtection="1"/>
    <xf numFmtId="1" fontId="7" fillId="2" borderId="15" xfId="0" applyNumberFormat="1" applyFont="1" applyFill="1" applyBorder="1" applyAlignment="1" applyProtection="1"/>
    <xf numFmtId="166" fontId="7" fillId="2" borderId="15" xfId="0" applyNumberFormat="1" applyFont="1" applyFill="1" applyBorder="1" applyAlignment="1" applyProtection="1"/>
    <xf numFmtId="2" fontId="7" fillId="2" borderId="15" xfId="0" applyNumberFormat="1" applyFont="1" applyFill="1" applyBorder="1" applyAlignment="1" applyProtection="1"/>
    <xf numFmtId="0" fontId="8" fillId="2" borderId="0" xfId="0" applyNumberFormat="1" applyFont="1" applyFill="1" applyAlignment="1" applyProtection="1">
      <alignment vertical="center" wrapText="1"/>
    </xf>
    <xf numFmtId="1" fontId="8" fillId="2" borderId="0" xfId="0" applyNumberFormat="1" applyFont="1" applyFill="1" applyAlignment="1" applyProtection="1">
      <alignment vertical="center" wrapText="1"/>
    </xf>
    <xf numFmtId="166" fontId="8" fillId="2" borderId="0" xfId="0" applyNumberFormat="1" applyFont="1" applyFill="1" applyAlignment="1" applyProtection="1">
      <alignment vertical="center" wrapText="1"/>
    </xf>
    <xf numFmtId="2" fontId="8" fillId="2" borderId="0" xfId="0" applyNumberFormat="1" applyFont="1" applyFill="1" applyAlignment="1" applyProtection="1">
      <alignment vertical="center" wrapText="1"/>
    </xf>
    <xf numFmtId="0" fontId="4" fillId="2" borderId="2" xfId="0" applyNumberFormat="1" applyFont="1" applyFill="1" applyBorder="1" applyAlignment="1" applyProtection="1">
      <alignment horizontal="left" vertical="center" indent="1"/>
    </xf>
    <xf numFmtId="1" fontId="4" fillId="2" borderId="2" xfId="0" applyNumberFormat="1" applyFont="1" applyFill="1" applyBorder="1" applyAlignment="1" applyProtection="1">
      <alignment horizontal="left" vertical="center" indent="1"/>
    </xf>
    <xf numFmtId="164" fontId="4" fillId="2" borderId="2" xfId="0" applyNumberFormat="1" applyFont="1" applyFill="1" applyBorder="1" applyAlignment="1" applyProtection="1">
      <alignment horizontal="left" vertical="center" indent="1"/>
    </xf>
    <xf numFmtId="10" fontId="4" fillId="2" borderId="2" xfId="0" applyNumberFormat="1" applyFont="1" applyFill="1" applyBorder="1" applyAlignment="1" applyProtection="1">
      <alignment horizontal="left" vertical="center" indent="1"/>
    </xf>
    <xf numFmtId="166" fontId="4" fillId="2" borderId="2" xfId="0" applyNumberFormat="1" applyFont="1" applyFill="1" applyBorder="1" applyAlignment="1" applyProtection="1">
      <alignment horizontal="left" vertical="center" indent="1"/>
    </xf>
    <xf numFmtId="2" fontId="4" fillId="2" borderId="2" xfId="0" applyNumberFormat="1" applyFont="1" applyFill="1" applyBorder="1" applyAlignment="1" applyProtection="1">
      <alignment horizontal="left" vertical="center" indent="1"/>
    </xf>
    <xf numFmtId="0" fontId="5" fillId="5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" fillId="5" borderId="4" xfId="0" applyNumberFormat="1" applyFont="1" applyFill="1" applyBorder="1" applyAlignment="1" applyProtection="1"/>
    <xf numFmtId="0" fontId="1" fillId="5" borderId="5" xfId="0" applyNumberFormat="1" applyFont="1" applyFill="1" applyBorder="1" applyAlignment="1" applyProtection="1"/>
    <xf numFmtId="0" fontId="1" fillId="5" borderId="3" xfId="0" applyNumberFormat="1" applyFont="1" applyFill="1" applyBorder="1" applyAlignment="1" applyProtection="1"/>
    <xf numFmtId="0" fontId="6" fillId="5" borderId="6" xfId="0" applyNumberFormat="1" applyFont="1" applyFill="1" applyBorder="1" applyAlignment="1" applyProtection="1">
      <alignment horizontal="left" vertical="center" wrapText="1" indent="1"/>
      <protection locked="0"/>
    </xf>
    <xf numFmtId="0" fontId="1" fillId="5" borderId="7" xfId="0" applyNumberFormat="1" applyFont="1" applyFill="1" applyBorder="1" applyAlignment="1" applyProtection="1"/>
    <xf numFmtId="0" fontId="1" fillId="5" borderId="8" xfId="0" applyNumberFormat="1" applyFont="1" applyFill="1" applyBorder="1" applyAlignment="1" applyProtection="1"/>
    <xf numFmtId="0" fontId="1" fillId="5" borderId="6" xfId="0" applyNumberFormat="1" applyFont="1" applyFill="1" applyBorder="1" applyAlignment="1" applyProtection="1"/>
    <xf numFmtId="0" fontId="1" fillId="5" borderId="9" xfId="0" applyNumberFormat="1" applyFont="1" applyFill="1" applyBorder="1" applyAlignment="1" applyProtection="1">
      <alignment horizontal="left" vertical="center" wrapText="1" indent="2"/>
      <protection locked="0"/>
    </xf>
    <xf numFmtId="0" fontId="1" fillId="5" borderId="10" xfId="0" applyNumberFormat="1" applyFont="1" applyFill="1" applyBorder="1" applyAlignment="1" applyProtection="1"/>
    <xf numFmtId="0" fontId="1" fillId="5" borderId="11" xfId="0" applyNumberFormat="1" applyFont="1" applyFill="1" applyBorder="1" applyAlignment="1" applyProtection="1"/>
    <xf numFmtId="0" fontId="1" fillId="5" borderId="12" xfId="0" applyNumberFormat="1" applyFont="1" applyFill="1" applyBorder="1" applyAlignment="1" applyProtection="1">
      <alignment horizontal="left" vertical="center" wrapText="1" indent="2"/>
      <protection locked="0"/>
    </xf>
    <xf numFmtId="0" fontId="1" fillId="5" borderId="13" xfId="0" applyNumberFormat="1" applyFont="1" applyFill="1" applyBorder="1" applyAlignment="1" applyProtection="1"/>
    <xf numFmtId="0" fontId="1" fillId="5" borderId="14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>
      <alignment horizontal="left" vertical="center" wrapText="1" indent="2"/>
      <protection locked="0"/>
    </xf>
    <xf numFmtId="0" fontId="1" fillId="2" borderId="10" xfId="0" applyNumberFormat="1" applyFont="1" applyFill="1" applyBorder="1" applyAlignment="1" applyProtection="1"/>
    <xf numFmtId="1" fontId="2" fillId="4" borderId="1" xfId="0" applyNumberFormat="1" applyFont="1" applyFill="1" applyBorder="1" applyAlignment="1" applyProtection="1">
      <alignment horizontal="center" vertical="center"/>
    </xf>
    <xf numFmtId="0" fontId="1" fillId="5" borderId="12" xfId="0" applyNumberFormat="1" applyFont="1" applyFill="1" applyBorder="1" applyAlignment="1" applyProtection="1">
      <alignment horizontal="left" vertical="center" wrapText="1" indent="2"/>
    </xf>
    <xf numFmtId="0" fontId="1" fillId="2" borderId="10" xfId="0" applyNumberFormat="1" applyFont="1" applyFill="1" applyBorder="1" applyAlignment="1" applyProtection="1">
      <alignment horizontal="left" vertical="center" wrapText="1" indent="2"/>
    </xf>
    <xf numFmtId="0" fontId="5" fillId="5" borderId="3" xfId="0" applyNumberFormat="1" applyFont="1" applyFill="1" applyBorder="1" applyAlignment="1" applyProtection="1">
      <alignment horizontal="left" vertical="center" wrapText="1" indent="1"/>
    </xf>
    <xf numFmtId="0" fontId="6" fillId="5" borderId="6" xfId="0" applyNumberFormat="1" applyFont="1" applyFill="1" applyBorder="1" applyAlignment="1" applyProtection="1">
      <alignment horizontal="left" vertical="center" wrapText="1" indent="1"/>
    </xf>
    <xf numFmtId="0" fontId="1" fillId="5" borderId="9" xfId="0" applyNumberFormat="1" applyFont="1" applyFill="1" applyBorder="1" applyAlignment="1" applyProtection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14375" cy="714375"/>
    <xdr:pic>
      <xdr:nvPicPr>
        <xdr:cNvPr id="2" name="Logo_63763330463064209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4375" cy="7143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14375" cy="714375"/>
    <xdr:pic>
      <xdr:nvPicPr>
        <xdr:cNvPr id="2" name="Logo_63763330463782882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4375" cy="71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14375" cy="714375"/>
    <xdr:pic>
      <xdr:nvPicPr>
        <xdr:cNvPr id="2" name="Logo_63763330464361006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4375" cy="71437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14375" cy="714375"/>
    <xdr:pic>
      <xdr:nvPicPr>
        <xdr:cNvPr id="2" name="Logo_63763330465079756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4375" cy="714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customProperty" Target="../customProperty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14"/>
  <sheetViews>
    <sheetView workbookViewId="0"/>
  </sheetViews>
  <sheetFormatPr baseColWidth="10" defaultColWidth="9.1640625" defaultRowHeight="14" x14ac:dyDescent="0.2"/>
  <cols>
    <col min="1" max="1" width="9.1640625" style="1" customWidth="1"/>
    <col min="2" max="2" width="15.6640625" style="1" customWidth="1"/>
    <col min="3" max="3" width="25.6640625" style="1" customWidth="1"/>
    <col min="4" max="4" width="15.6640625" style="1" customWidth="1"/>
    <col min="5" max="5" width="9.1640625" style="1" customWidth="1"/>
    <col min="6" max="6" width="15.6640625" style="1" customWidth="1"/>
    <col min="7" max="8" width="25.6640625" style="1" customWidth="1"/>
    <col min="9" max="10" width="15.6640625" style="2" customWidth="1"/>
    <col min="11" max="11" width="15.6640625" style="3" customWidth="1"/>
    <col min="12" max="12" width="9.1640625" style="1" customWidth="1"/>
    <col min="13" max="14" width="15.6640625" style="4" customWidth="1"/>
    <col min="15" max="15" width="15.6640625" style="3" customWidth="1"/>
    <col min="16" max="16" width="15.6640625" style="1" customWidth="1"/>
    <col min="17" max="17" width="9.1640625" style="1" customWidth="1"/>
    <col min="18" max="16384" width="9.1640625" style="1"/>
  </cols>
  <sheetData>
    <row r="2" spans="2:19" x14ac:dyDescent="0.2">
      <c r="B2" s="53" t="s">
        <v>0</v>
      </c>
      <c r="C2" s="53"/>
      <c r="D2" s="53"/>
      <c r="F2" s="53" t="s">
        <v>1</v>
      </c>
      <c r="G2" s="53"/>
      <c r="H2" s="53"/>
      <c r="I2" s="54"/>
      <c r="J2" s="54"/>
      <c r="K2" s="55"/>
      <c r="M2" s="56" t="s">
        <v>2</v>
      </c>
      <c r="N2" s="56"/>
      <c r="O2" s="55"/>
      <c r="P2" s="53"/>
    </row>
    <row r="3" spans="2:19" ht="30" x14ac:dyDescent="0.2">
      <c r="B3" s="5" t="s">
        <v>3</v>
      </c>
      <c r="C3" s="5" t="s">
        <v>4</v>
      </c>
      <c r="D3" s="5" t="s">
        <v>5</v>
      </c>
      <c r="F3" s="5" t="s">
        <v>6</v>
      </c>
      <c r="G3" s="5" t="s">
        <v>7</v>
      </c>
      <c r="H3" s="5" t="s">
        <v>8</v>
      </c>
      <c r="I3" s="6" t="s">
        <v>9</v>
      </c>
      <c r="J3" s="6" t="s">
        <v>10</v>
      </c>
      <c r="K3" s="7" t="s">
        <v>11</v>
      </c>
      <c r="M3" s="8" t="s">
        <v>9</v>
      </c>
      <c r="N3" s="8" t="s">
        <v>10</v>
      </c>
      <c r="O3" s="7" t="s">
        <v>11</v>
      </c>
      <c r="P3" s="5" t="s">
        <v>12</v>
      </c>
    </row>
    <row r="4" spans="2:19" x14ac:dyDescent="0.2">
      <c r="B4" s="9">
        <v>10</v>
      </c>
      <c r="C4" s="9" t="s">
        <v>13</v>
      </c>
      <c r="D4" s="9">
        <v>1</v>
      </c>
      <c r="F4" s="9" t="s">
        <v>14</v>
      </c>
      <c r="G4" s="9" t="s">
        <v>15</v>
      </c>
      <c r="H4" s="9" t="s">
        <v>16</v>
      </c>
      <c r="I4" s="10">
        <v>4</v>
      </c>
      <c r="J4" s="10">
        <v>9999999</v>
      </c>
      <c r="K4" s="11">
        <v>6.4051240992999997E-2</v>
      </c>
      <c r="L4" s="12"/>
      <c r="M4" s="13">
        <v>5000</v>
      </c>
      <c r="N4" s="13">
        <v>11999.99</v>
      </c>
      <c r="O4" s="14">
        <v>0.03</v>
      </c>
      <c r="P4" s="11">
        <v>1</v>
      </c>
      <c r="Q4" s="12"/>
      <c r="R4" s="12"/>
      <c r="S4" s="12"/>
    </row>
    <row r="5" spans="2:19" x14ac:dyDescent="0.2">
      <c r="B5" s="9">
        <v>1</v>
      </c>
      <c r="C5" s="9" t="s">
        <v>17</v>
      </c>
      <c r="D5" s="9">
        <v>0</v>
      </c>
      <c r="F5" s="9" t="s">
        <v>18</v>
      </c>
      <c r="G5" s="9" t="s">
        <v>19</v>
      </c>
      <c r="H5" s="9" t="s">
        <v>16</v>
      </c>
      <c r="I5" s="10">
        <v>2</v>
      </c>
      <c r="J5" s="10">
        <v>5</v>
      </c>
      <c r="K5" s="11">
        <v>5.2910052909999998E-2</v>
      </c>
      <c r="L5" s="12"/>
      <c r="M5" s="13">
        <v>12000</v>
      </c>
      <c r="N5" s="13">
        <v>16999.990000000002</v>
      </c>
      <c r="O5" s="14">
        <v>0.04</v>
      </c>
      <c r="P5" s="11">
        <v>1</v>
      </c>
      <c r="Q5" s="12"/>
      <c r="R5" s="12"/>
      <c r="S5" s="12"/>
    </row>
    <row r="6" spans="2:19" x14ac:dyDescent="0.2">
      <c r="B6" s="9">
        <v>2</v>
      </c>
      <c r="C6" s="9" t="s">
        <v>20</v>
      </c>
      <c r="D6" s="9">
        <v>0</v>
      </c>
      <c r="F6" s="9" t="s">
        <v>18</v>
      </c>
      <c r="G6" s="9" t="s">
        <v>19</v>
      </c>
      <c r="H6" s="9" t="s">
        <v>16</v>
      </c>
      <c r="I6" s="10">
        <v>6</v>
      </c>
      <c r="J6" s="10">
        <v>999999</v>
      </c>
      <c r="K6" s="11">
        <v>6.0240963855000003E-2</v>
      </c>
      <c r="L6" s="12"/>
      <c r="M6" s="13">
        <v>17000</v>
      </c>
      <c r="N6" s="13">
        <v>26999.99</v>
      </c>
      <c r="O6" s="14">
        <v>0.05</v>
      </c>
      <c r="P6" s="11">
        <v>1</v>
      </c>
      <c r="Q6" s="12"/>
      <c r="R6" s="12"/>
      <c r="S6" s="12"/>
    </row>
    <row r="7" spans="2:19" x14ac:dyDescent="0.2">
      <c r="B7" s="9">
        <v>3</v>
      </c>
      <c r="C7" s="9" t="s">
        <v>21</v>
      </c>
      <c r="D7" s="9">
        <v>0</v>
      </c>
      <c r="F7" s="9" t="s">
        <v>22</v>
      </c>
      <c r="G7" s="9" t="s">
        <v>23</v>
      </c>
      <c r="H7" s="9" t="s">
        <v>16</v>
      </c>
      <c r="I7" s="10">
        <v>1</v>
      </c>
      <c r="J7" s="10">
        <v>9999999</v>
      </c>
      <c r="K7" s="11">
        <v>1.1990407674E-2</v>
      </c>
      <c r="L7" s="12"/>
      <c r="M7" s="13">
        <v>27000</v>
      </c>
      <c r="N7" s="13">
        <v>31999.99</v>
      </c>
      <c r="O7" s="14">
        <v>0.06</v>
      </c>
      <c r="P7" s="11">
        <v>1</v>
      </c>
      <c r="Q7" s="12"/>
      <c r="R7" s="12"/>
      <c r="S7" s="12"/>
    </row>
    <row r="8" spans="2:19" x14ac:dyDescent="0.2">
      <c r="B8" s="9">
        <v>5</v>
      </c>
      <c r="C8" s="9" t="s">
        <v>24</v>
      </c>
      <c r="D8" s="9">
        <v>0</v>
      </c>
      <c r="F8" s="9" t="s">
        <v>25</v>
      </c>
      <c r="G8" s="9" t="s">
        <v>26</v>
      </c>
      <c r="H8" s="9" t="s">
        <v>27</v>
      </c>
      <c r="I8" s="10">
        <v>4</v>
      </c>
      <c r="J8" s="10">
        <v>23</v>
      </c>
      <c r="K8" s="11">
        <v>2.8571428571E-2</v>
      </c>
      <c r="L8" s="12"/>
      <c r="M8" s="13">
        <v>32000</v>
      </c>
      <c r="N8" s="13">
        <v>41999.99</v>
      </c>
      <c r="O8" s="14">
        <v>0.08</v>
      </c>
      <c r="P8" s="11">
        <v>1</v>
      </c>
      <c r="Q8" s="12"/>
      <c r="R8" s="12"/>
      <c r="S8" s="12"/>
    </row>
    <row r="9" spans="2:19" x14ac:dyDescent="0.2">
      <c r="B9" s="9">
        <v>6</v>
      </c>
      <c r="C9" s="9" t="s">
        <v>28</v>
      </c>
      <c r="D9" s="9">
        <v>0</v>
      </c>
      <c r="F9" s="9" t="s">
        <v>25</v>
      </c>
      <c r="G9" s="9" t="s">
        <v>26</v>
      </c>
      <c r="H9" s="9" t="s">
        <v>27</v>
      </c>
      <c r="I9" s="10">
        <v>24</v>
      </c>
      <c r="J9" s="10">
        <v>999999</v>
      </c>
      <c r="K9" s="11">
        <v>3.125E-2</v>
      </c>
      <c r="L9" s="12"/>
      <c r="M9" s="13">
        <v>42000</v>
      </c>
      <c r="N9" s="13">
        <v>999999.99</v>
      </c>
      <c r="O9" s="14">
        <v>0.09</v>
      </c>
      <c r="P9" s="11">
        <v>1</v>
      </c>
      <c r="Q9" s="12"/>
      <c r="R9" s="12"/>
      <c r="S9" s="12"/>
    </row>
    <row r="10" spans="2:19" x14ac:dyDescent="0.2">
      <c r="B10" s="9">
        <v>4</v>
      </c>
      <c r="C10" s="9" t="s">
        <v>29</v>
      </c>
      <c r="D10" s="9">
        <v>0</v>
      </c>
      <c r="F10" s="9" t="s">
        <v>30</v>
      </c>
      <c r="G10" s="9" t="s">
        <v>31</v>
      </c>
      <c r="H10" s="9" t="s">
        <v>32</v>
      </c>
      <c r="I10" s="10">
        <v>10</v>
      </c>
      <c r="J10" s="10">
        <v>999999</v>
      </c>
      <c r="K10" s="11">
        <v>4.9504950494999998E-2</v>
      </c>
      <c r="L10" s="12"/>
    </row>
    <row r="11" spans="2:19" x14ac:dyDescent="0.2">
      <c r="B11" s="9">
        <v>7</v>
      </c>
      <c r="C11" s="9" t="s">
        <v>33</v>
      </c>
      <c r="D11" s="9">
        <v>1</v>
      </c>
    </row>
    <row r="12" spans="2:19" x14ac:dyDescent="0.2">
      <c r="B12" s="9">
        <v>11</v>
      </c>
      <c r="C12" s="9" t="s">
        <v>34</v>
      </c>
      <c r="D12" s="9">
        <v>1</v>
      </c>
    </row>
    <row r="13" spans="2:19" x14ac:dyDescent="0.2">
      <c r="B13" s="9">
        <v>8</v>
      </c>
      <c r="C13" s="9" t="s">
        <v>35</v>
      </c>
      <c r="D13" s="9">
        <v>0</v>
      </c>
    </row>
    <row r="14" spans="2:19" x14ac:dyDescent="0.2">
      <c r="B14" s="9">
        <v>9</v>
      </c>
      <c r="C14" s="9" t="s">
        <v>36</v>
      </c>
      <c r="D14" s="9">
        <v>0</v>
      </c>
    </row>
  </sheetData>
  <mergeCells count="3">
    <mergeCell ref="B2:D2"/>
    <mergeCell ref="F2:K2"/>
    <mergeCell ref="M2:P2"/>
  </mergeCells>
  <pageMargins left="0.75" right="0.75" top="0.75" bottom="0.5" header="0.5" footer="0.75"/>
  <pageSetup orientation="portrait" r:id="rId1"/>
  <headerFooter>
    <oddFooter>&amp;R&amp;1#&amp;"Calibri"&amp;22&amp;KFF8939RESTRICTED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M103"/>
  <sheetViews>
    <sheetView tabSelected="1" workbookViewId="0">
      <selection activeCell="F21" sqref="F21"/>
    </sheetView>
  </sheetViews>
  <sheetFormatPr baseColWidth="10" defaultColWidth="9.1640625" defaultRowHeight="14" x14ac:dyDescent="0.2"/>
  <cols>
    <col min="1" max="1" width="8.5" style="1" customWidth="1"/>
    <col min="2" max="2" width="8.1640625" style="1" customWidth="1"/>
    <col min="3" max="3" width="15.6640625" style="1" hidden="1" customWidth="1"/>
    <col min="4" max="4" width="40.6640625" style="1" customWidth="1"/>
    <col min="5" max="5" width="20.6640625" style="1" customWidth="1"/>
    <col min="6" max="6" width="9.1640625" style="2" customWidth="1"/>
    <col min="7" max="8" width="12.6640625" style="4" hidden="1" customWidth="1"/>
    <col min="9" max="9" width="12.6640625" style="4" customWidth="1"/>
    <col min="10" max="10" width="15.6640625" style="4" customWidth="1"/>
    <col min="11" max="11" width="15.6640625" style="3" hidden="1" customWidth="1"/>
    <col min="12" max="12" width="15.6640625" style="4" hidden="1" customWidth="1"/>
    <col min="13" max="13" width="15.6640625" style="4" customWidth="1"/>
    <col min="14" max="14" width="9.1640625" style="4" hidden="1" customWidth="1"/>
    <col min="15" max="15" width="15.6640625" style="4" hidden="1" customWidth="1"/>
    <col min="16" max="16" width="9.6640625" style="15" customWidth="1"/>
    <col min="17" max="18" width="9.6640625" style="16" customWidth="1"/>
    <col min="19" max="21" width="15.6640625" style="15" hidden="1" customWidth="1"/>
    <col min="22" max="22" width="10.6640625" style="15" hidden="1" customWidth="1"/>
    <col min="23" max="30" width="15.6640625" style="15" hidden="1" customWidth="1"/>
    <col min="31" max="31" width="15.6640625" style="4" hidden="1" customWidth="1"/>
    <col min="32" max="32" width="15.6640625" style="1" hidden="1" customWidth="1"/>
    <col min="33" max="33" width="2.83203125" style="1" customWidth="1"/>
    <col min="34" max="34" width="40.6640625" style="1" customWidth="1"/>
    <col min="35" max="35" width="15.6640625" style="1" customWidth="1"/>
    <col min="36" max="36" width="10.6640625" style="2" customWidth="1"/>
    <col min="37" max="37" width="10.6640625" style="1" customWidth="1"/>
    <col min="38" max="38" width="10.6640625" style="15" customWidth="1"/>
    <col min="39" max="39" width="10.6640625" style="16" customWidth="1"/>
    <col min="40" max="40" width="9.1640625" style="1" customWidth="1"/>
    <col min="41" max="16384" width="9.1640625" style="1"/>
  </cols>
  <sheetData>
    <row r="1" spans="2:39" s="17" customFormat="1" ht="56.25" customHeight="1" x14ac:dyDescent="0.2">
      <c r="B1" s="120" t="s">
        <v>37</v>
      </c>
      <c r="C1" s="120"/>
      <c r="D1" s="120"/>
      <c r="E1" s="120"/>
      <c r="F1" s="121"/>
      <c r="G1" s="122"/>
      <c r="H1" s="122"/>
      <c r="I1" s="122"/>
      <c r="J1" s="122"/>
      <c r="K1" s="123"/>
      <c r="L1" s="122"/>
      <c r="M1" s="122"/>
      <c r="N1" s="122"/>
      <c r="O1" s="122"/>
      <c r="P1" s="124"/>
      <c r="Q1" s="125"/>
      <c r="R1" s="125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2"/>
      <c r="AJ1" s="18"/>
      <c r="AL1" s="19"/>
      <c r="AM1" s="20"/>
    </row>
    <row r="3" spans="2:39" x14ac:dyDescent="0.2">
      <c r="B3" s="126" t="s">
        <v>38</v>
      </c>
      <c r="C3" s="127"/>
      <c r="D3" s="127"/>
      <c r="E3" s="128"/>
    </row>
    <row r="4" spans="2:39" x14ac:dyDescent="0.2">
      <c r="B4" s="129"/>
      <c r="C4" s="127"/>
      <c r="D4" s="127"/>
      <c r="E4" s="128"/>
    </row>
    <row r="5" spans="2:39" x14ac:dyDescent="0.2">
      <c r="B5" s="130" t="s">
        <v>39</v>
      </c>
      <c r="C5" s="131"/>
      <c r="D5" s="131"/>
      <c r="E5" s="132"/>
    </row>
    <row r="6" spans="2:39" x14ac:dyDescent="0.2">
      <c r="B6" s="133"/>
      <c r="C6" s="131"/>
      <c r="D6" s="131"/>
      <c r="E6" s="132"/>
    </row>
    <row r="7" spans="2:39" x14ac:dyDescent="0.2">
      <c r="B7" s="134" t="s">
        <v>40</v>
      </c>
      <c r="C7" s="135"/>
      <c r="D7" s="135"/>
      <c r="E7" s="136"/>
    </row>
    <row r="8" spans="2:39" x14ac:dyDescent="0.2">
      <c r="B8" s="134" t="s">
        <v>41</v>
      </c>
      <c r="C8" s="135"/>
      <c r="D8" s="135"/>
      <c r="E8" s="136"/>
    </row>
    <row r="9" spans="2:39" x14ac:dyDescent="0.2">
      <c r="B9" s="137" t="s">
        <v>42</v>
      </c>
      <c r="C9" s="138"/>
      <c r="D9" s="138"/>
      <c r="E9" s="139"/>
    </row>
    <row r="10" spans="2:39" x14ac:dyDescent="0.2">
      <c r="B10" s="140" t="s">
        <v>43</v>
      </c>
      <c r="C10" s="141"/>
      <c r="D10" s="141"/>
      <c r="E10" s="141"/>
    </row>
    <row r="11" spans="2:39" x14ac:dyDescent="0.2">
      <c r="B11" s="140" t="s">
        <v>44</v>
      </c>
      <c r="C11" s="141"/>
      <c r="D11" s="141"/>
      <c r="E11" s="141"/>
    </row>
    <row r="14" spans="2:39" x14ac:dyDescent="0.2">
      <c r="B14" s="79" t="s">
        <v>45</v>
      </c>
      <c r="C14" s="79"/>
      <c r="D14" s="79"/>
      <c r="E14" s="79"/>
      <c r="AH14" s="79" t="s">
        <v>46</v>
      </c>
      <c r="AI14" s="79"/>
      <c r="AJ14" s="113"/>
      <c r="AK14" s="79"/>
      <c r="AL14" s="114"/>
      <c r="AM14" s="115"/>
    </row>
    <row r="15" spans="2:39" x14ac:dyDescent="0.2">
      <c r="B15" s="79"/>
      <c r="C15" s="79"/>
      <c r="D15" s="79"/>
      <c r="E15" s="79"/>
      <c r="AH15" s="79"/>
      <c r="AI15" s="79"/>
      <c r="AJ15" s="113"/>
      <c r="AK15" s="79"/>
      <c r="AL15" s="114"/>
      <c r="AM15" s="115"/>
    </row>
    <row r="16" spans="2:39" x14ac:dyDescent="0.2">
      <c r="AH16" s="116" t="s">
        <v>47</v>
      </c>
      <c r="AI16" s="116"/>
      <c r="AJ16" s="117"/>
      <c r="AK16" s="116"/>
      <c r="AL16" s="118"/>
      <c r="AM16" s="119"/>
    </row>
    <row r="17" spans="2:39" x14ac:dyDescent="0.2">
      <c r="B17" s="90" t="s">
        <v>48</v>
      </c>
      <c r="C17" s="90"/>
      <c r="D17" s="90"/>
      <c r="E17" s="90"/>
      <c r="F17" s="91"/>
      <c r="G17" s="92"/>
      <c r="H17" s="92"/>
      <c r="I17" s="92"/>
      <c r="J17" s="92"/>
      <c r="K17" s="93"/>
      <c r="L17" s="92"/>
      <c r="M17" s="92"/>
      <c r="N17" s="92"/>
      <c r="O17" s="92"/>
      <c r="P17" s="94"/>
      <c r="Q17" s="95"/>
      <c r="R17" s="95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2"/>
      <c r="AF17" s="21"/>
      <c r="AH17" s="116"/>
      <c r="AI17" s="116"/>
      <c r="AJ17" s="117"/>
      <c r="AK17" s="116"/>
      <c r="AL17" s="118"/>
      <c r="AM17" s="119"/>
    </row>
    <row r="18" spans="2:39" x14ac:dyDescent="0.2">
      <c r="B18" s="87" t="s">
        <v>49</v>
      </c>
      <c r="C18" s="97" t="s">
        <v>6</v>
      </c>
      <c r="D18" s="97" t="s">
        <v>7</v>
      </c>
      <c r="E18" s="97" t="s">
        <v>50</v>
      </c>
      <c r="F18" s="98" t="s">
        <v>51</v>
      </c>
      <c r="G18" s="84" t="s">
        <v>52</v>
      </c>
      <c r="H18" s="84" t="s">
        <v>53</v>
      </c>
      <c r="I18" s="101" t="s">
        <v>54</v>
      </c>
      <c r="J18" s="101" t="s">
        <v>55</v>
      </c>
      <c r="K18" s="104" t="s">
        <v>11</v>
      </c>
      <c r="L18" s="84" t="s">
        <v>56</v>
      </c>
      <c r="M18" s="101" t="s">
        <v>57</v>
      </c>
      <c r="N18" s="84" t="s">
        <v>58</v>
      </c>
      <c r="O18" s="84" t="s">
        <v>59</v>
      </c>
      <c r="P18" s="107" t="s">
        <v>60</v>
      </c>
      <c r="Q18" s="110" t="s">
        <v>61</v>
      </c>
      <c r="R18" s="110" t="s">
        <v>62</v>
      </c>
      <c r="S18" s="81" t="s">
        <v>63</v>
      </c>
      <c r="T18" s="81" t="s">
        <v>64</v>
      </c>
      <c r="U18" s="81" t="s">
        <v>65</v>
      </c>
      <c r="V18" s="81" t="s">
        <v>66</v>
      </c>
      <c r="W18" s="81" t="s">
        <v>67</v>
      </c>
      <c r="X18" s="81" t="s">
        <v>68</v>
      </c>
      <c r="Y18" s="81" t="s">
        <v>69</v>
      </c>
      <c r="Z18" s="81" t="s">
        <v>2</v>
      </c>
      <c r="AA18" s="81" t="s">
        <v>70</v>
      </c>
      <c r="AB18" s="81" t="s">
        <v>71</v>
      </c>
      <c r="AC18" s="81" t="s">
        <v>72</v>
      </c>
      <c r="AD18" s="81" t="s">
        <v>73</v>
      </c>
      <c r="AE18" s="84" t="s">
        <v>49</v>
      </c>
      <c r="AF18" s="87" t="s">
        <v>74</v>
      </c>
      <c r="AH18" s="116"/>
      <c r="AI18" s="116"/>
      <c r="AJ18" s="117"/>
      <c r="AK18" s="116"/>
      <c r="AL18" s="118"/>
      <c r="AM18" s="119"/>
    </row>
    <row r="19" spans="2:39" x14ac:dyDescent="0.2">
      <c r="B19" s="88"/>
      <c r="C19" s="88"/>
      <c r="D19" s="88"/>
      <c r="E19" s="88"/>
      <c r="F19" s="99"/>
      <c r="G19" s="85"/>
      <c r="H19" s="85"/>
      <c r="I19" s="85"/>
      <c r="J19" s="85"/>
      <c r="K19" s="105"/>
      <c r="L19" s="85"/>
      <c r="M19" s="85"/>
      <c r="N19" s="85"/>
      <c r="O19" s="85"/>
      <c r="P19" s="108"/>
      <c r="Q19" s="111"/>
      <c r="R19" s="111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5"/>
      <c r="AF19" s="88"/>
    </row>
    <row r="20" spans="2:39" x14ac:dyDescent="0.2">
      <c r="B20" s="88"/>
      <c r="C20" s="88"/>
      <c r="D20" s="88"/>
      <c r="E20" s="88"/>
      <c r="F20" s="99"/>
      <c r="G20" s="85"/>
      <c r="H20" s="85"/>
      <c r="I20" s="85"/>
      <c r="J20" s="85"/>
      <c r="K20" s="105"/>
      <c r="L20" s="85"/>
      <c r="M20" s="85"/>
      <c r="N20" s="85"/>
      <c r="O20" s="85"/>
      <c r="P20" s="108"/>
      <c r="Q20" s="111"/>
      <c r="R20" s="111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5"/>
      <c r="AF20" s="88"/>
      <c r="AH20" s="71" t="s">
        <v>75</v>
      </c>
      <c r="AI20" s="71"/>
      <c r="AJ20" s="72"/>
      <c r="AK20" s="71"/>
      <c r="AL20" s="73"/>
      <c r="AM20" s="74"/>
    </row>
    <row r="21" spans="2:39" x14ac:dyDescent="0.2">
      <c r="B21" s="24"/>
      <c r="C21" s="25" t="s">
        <v>76</v>
      </c>
      <c r="D21" s="25" t="s">
        <v>77</v>
      </c>
      <c r="E21" s="25" t="s">
        <v>78</v>
      </c>
      <c r="F21" s="26"/>
      <c r="G21" s="27">
        <v>332.25</v>
      </c>
      <c r="H21" s="27" t="str">
        <f t="shared" ref="H21:H53" si="0">IF(F21*G21= 0,"",F21*G21)</f>
        <v/>
      </c>
      <c r="I21" s="27">
        <v>332.25</v>
      </c>
      <c r="J21" s="27" t="str">
        <f t="shared" ref="J21:J53" si="1">IF(F21*I21= 0,"",F21*I21)</f>
        <v/>
      </c>
      <c r="K21" s="28">
        <f t="shared" ref="K21:K53" si="2">IF(AND(AD21 &lt;&gt; "", SUM(S21:AC21) &lt;= AD21), SUM(S21:AC21), AD21)</f>
        <v>0</v>
      </c>
      <c r="L21" s="27" t="str">
        <f t="shared" ref="L21:L53" si="3">IF(F21 ="","",F21*K21*N21)</f>
        <v/>
      </c>
      <c r="M21" s="27" t="str">
        <f t="shared" ref="M21:M53" si="4">IF(AND(F21&lt;&gt;"",F21&gt;0),((J21/F21)-(L21/F21)),"")</f>
        <v/>
      </c>
      <c r="N21" s="27">
        <v>0</v>
      </c>
      <c r="O21" s="27" t="str">
        <f t="shared" ref="O21:O53" si="5">IF(AND(F21&lt;&gt;"",F21&gt;0), F21*M21,"")</f>
        <v/>
      </c>
      <c r="P21" s="29">
        <v>0.16</v>
      </c>
      <c r="Q21" s="30">
        <f t="shared" ref="Q21:Q53" si="6">P21*43.56</f>
        <v>6.9696000000000007</v>
      </c>
      <c r="R21" s="30" t="str">
        <f>IF(AND(TRIM(Q21)&lt;&gt;"",TRIM(F21)&lt;&gt;""),(F21*64)/Q21,"")</f>
        <v/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27">
        <f t="shared" ref="AE21:AE53" si="7">IF(F21 = "",0,N21*F21)</f>
        <v>0</v>
      </c>
      <c r="AF21" s="25"/>
      <c r="AH21" s="71"/>
      <c r="AI21" s="71"/>
      <c r="AJ21" s="72"/>
      <c r="AK21" s="71"/>
      <c r="AL21" s="73"/>
      <c r="AM21" s="74"/>
    </row>
    <row r="22" spans="2:39" x14ac:dyDescent="0.2">
      <c r="B22" s="24">
        <v>1</v>
      </c>
      <c r="C22" s="25" t="s">
        <v>14</v>
      </c>
      <c r="D22" s="25" t="s">
        <v>15</v>
      </c>
      <c r="E22" s="25" t="s">
        <v>16</v>
      </c>
      <c r="F22" s="26"/>
      <c r="G22" s="27">
        <v>999.2</v>
      </c>
      <c r="H22" s="27" t="str">
        <f t="shared" si="0"/>
        <v/>
      </c>
      <c r="I22" s="27">
        <v>999.2</v>
      </c>
      <c r="J22" s="27" t="str">
        <f t="shared" si="1"/>
        <v/>
      </c>
      <c r="K22" s="28">
        <f t="shared" ca="1" si="2"/>
        <v>0</v>
      </c>
      <c r="L22" s="27" t="str">
        <f t="shared" si="3"/>
        <v/>
      </c>
      <c r="M22" s="27" t="str">
        <f t="shared" si="4"/>
        <v/>
      </c>
      <c r="N22" s="27">
        <v>999.2</v>
      </c>
      <c r="O22" s="27" t="str">
        <f t="shared" si="5"/>
        <v/>
      </c>
      <c r="P22" s="29">
        <v>2</v>
      </c>
      <c r="Q22" s="30">
        <f t="shared" si="6"/>
        <v>87.12</v>
      </c>
      <c r="R22" s="30" t="str">
        <f>IF(AND(TRIM(Q22)&lt;&gt;"",TRIM(F22)&lt;&gt;""),(F22*319.999849189052)/Q22,"")</f>
        <v/>
      </c>
      <c r="S22" s="31" t="str">
        <f ca="1">IF(AND(F22 &lt;&gt;"",F22&gt;0), IFERROR(VLOOKUP(F22,INDIRECT(AF22),3,TRUE),0), "")</f>
        <v/>
      </c>
      <c r="T22" s="31"/>
      <c r="U22" s="31"/>
      <c r="V22" s="31"/>
      <c r="W22" s="31"/>
      <c r="X22" s="31"/>
      <c r="Y22" s="31"/>
      <c r="Z22" s="31" t="str">
        <f>IF(AND(B22 = 1, F22 &lt;&gt;""), Z84,"")</f>
        <v/>
      </c>
      <c r="AA22" s="31" t="str">
        <f>IF(F22 = "", "", IF(OR(AND(AND(F22 &gt;= 4, F22 &lt;= 999999), AND(SUM(F27) &gt;= 3, SUM(F27) &lt; 999999)),AND(AND(F22 &gt;= 4, F22 &lt;= 999999), AND(SUM(F42) &gt;= 24, SUM(F42) &lt; 999999))), 0.025020016012,""))</f>
        <v/>
      </c>
      <c r="AB22" s="31"/>
      <c r="AC22" s="31"/>
      <c r="AD22" s="31">
        <v>1</v>
      </c>
      <c r="AE22" s="27">
        <f t="shared" si="7"/>
        <v>0</v>
      </c>
      <c r="AF22" s="25" t="s">
        <v>79</v>
      </c>
      <c r="AH22" s="75"/>
      <c r="AI22" s="75"/>
      <c r="AJ22" s="76"/>
      <c r="AK22" s="75"/>
      <c r="AL22" s="77"/>
      <c r="AM22" s="78"/>
    </row>
    <row r="23" spans="2:39" x14ac:dyDescent="0.2">
      <c r="B23" s="24"/>
      <c r="C23" s="25" t="s">
        <v>80</v>
      </c>
      <c r="D23" s="25" t="s">
        <v>81</v>
      </c>
      <c r="E23" s="25" t="s">
        <v>16</v>
      </c>
      <c r="F23" s="26"/>
      <c r="G23" s="27">
        <v>1385</v>
      </c>
      <c r="H23" s="27" t="str">
        <f t="shared" si="0"/>
        <v/>
      </c>
      <c r="I23" s="27">
        <v>1385</v>
      </c>
      <c r="J23" s="27" t="str">
        <f t="shared" si="1"/>
        <v/>
      </c>
      <c r="K23" s="28">
        <f t="shared" si="2"/>
        <v>0</v>
      </c>
      <c r="L23" s="27" t="str">
        <f t="shared" si="3"/>
        <v/>
      </c>
      <c r="M23" s="27" t="str">
        <f t="shared" si="4"/>
        <v/>
      </c>
      <c r="N23" s="27">
        <v>0</v>
      </c>
      <c r="O23" s="27" t="str">
        <f t="shared" si="5"/>
        <v/>
      </c>
      <c r="P23" s="29">
        <v>1</v>
      </c>
      <c r="Q23" s="30">
        <f t="shared" si="6"/>
        <v>43.56</v>
      </c>
      <c r="R23" s="30" t="str">
        <f>IF(AND(TRIM(Q23)&lt;&gt;"",TRIM(F23)&lt;&gt;""),(F23*319.999849189052)/Q23,"")</f>
        <v/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27">
        <f t="shared" si="7"/>
        <v>0</v>
      </c>
      <c r="AF23" s="25"/>
      <c r="AH23" s="75"/>
      <c r="AI23" s="75"/>
      <c r="AJ23" s="76"/>
      <c r="AK23" s="75"/>
      <c r="AL23" s="77"/>
      <c r="AM23" s="78"/>
    </row>
    <row r="24" spans="2:39" x14ac:dyDescent="0.2">
      <c r="B24" s="24"/>
      <c r="C24" s="25" t="s">
        <v>82</v>
      </c>
      <c r="D24" s="25" t="s">
        <v>83</v>
      </c>
      <c r="E24" s="25" t="s">
        <v>84</v>
      </c>
      <c r="F24" s="26"/>
      <c r="G24" s="27">
        <v>107.65</v>
      </c>
      <c r="H24" s="27" t="str">
        <f t="shared" si="0"/>
        <v/>
      </c>
      <c r="I24" s="27">
        <v>107.65</v>
      </c>
      <c r="J24" s="27" t="str">
        <f t="shared" si="1"/>
        <v/>
      </c>
      <c r="K24" s="28">
        <f t="shared" si="2"/>
        <v>0</v>
      </c>
      <c r="L24" s="27" t="str">
        <f t="shared" si="3"/>
        <v/>
      </c>
      <c r="M24" s="27" t="str">
        <f t="shared" si="4"/>
        <v/>
      </c>
      <c r="N24" s="27">
        <v>0</v>
      </c>
      <c r="O24" s="27" t="str">
        <f t="shared" si="5"/>
        <v/>
      </c>
      <c r="P24" s="29">
        <v>8.5000000000000006E-2</v>
      </c>
      <c r="Q24" s="30">
        <f t="shared" si="6"/>
        <v>3.7026000000000003</v>
      </c>
      <c r="R24" s="30" t="str">
        <f>IF(AND(TRIM(Q24)&lt;&gt;"",TRIM(F24)&lt;&gt;""),(F24*10)/Q24,"")</f>
        <v/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27">
        <f t="shared" si="7"/>
        <v>0</v>
      </c>
      <c r="AF24" s="25"/>
      <c r="AH24" s="63"/>
      <c r="AI24" s="63"/>
      <c r="AJ24" s="64"/>
      <c r="AK24" s="63"/>
      <c r="AL24" s="65"/>
      <c r="AM24" s="66"/>
    </row>
    <row r="25" spans="2:39" ht="27" x14ac:dyDescent="0.2">
      <c r="B25" s="24">
        <v>1</v>
      </c>
      <c r="C25" s="25" t="s">
        <v>85</v>
      </c>
      <c r="D25" s="25" t="s">
        <v>86</v>
      </c>
      <c r="E25" s="25" t="s">
        <v>84</v>
      </c>
      <c r="F25" s="26"/>
      <c r="G25" s="27">
        <v>147</v>
      </c>
      <c r="H25" s="27" t="str">
        <f t="shared" si="0"/>
        <v/>
      </c>
      <c r="I25" s="27">
        <v>147</v>
      </c>
      <c r="J25" s="27" t="str">
        <f t="shared" si="1"/>
        <v/>
      </c>
      <c r="K25" s="28">
        <f t="shared" si="2"/>
        <v>0</v>
      </c>
      <c r="L25" s="27" t="str">
        <f t="shared" si="3"/>
        <v/>
      </c>
      <c r="M25" s="27" t="str">
        <f t="shared" si="4"/>
        <v/>
      </c>
      <c r="N25" s="27">
        <v>147</v>
      </c>
      <c r="O25" s="27" t="str">
        <f t="shared" si="5"/>
        <v/>
      </c>
      <c r="P25" s="29">
        <v>0.17</v>
      </c>
      <c r="Q25" s="30">
        <f t="shared" si="6"/>
        <v>7.4052000000000007</v>
      </c>
      <c r="R25" s="30" t="str">
        <f>IF(AND(TRIM(Q25)&lt;&gt;"",TRIM(F25)&lt;&gt;""),(F25*10)/Q25,"")</f>
        <v/>
      </c>
      <c r="S25" s="31"/>
      <c r="T25" s="31"/>
      <c r="U25" s="31"/>
      <c r="V25" s="31"/>
      <c r="W25" s="31"/>
      <c r="X25" s="31"/>
      <c r="Y25" s="31"/>
      <c r="Z25" s="31" t="str">
        <f>IF(AND(B25 = 1, F25 &lt;&gt;""), Z84,"")</f>
        <v/>
      </c>
      <c r="AA25" s="31"/>
      <c r="AB25" s="31"/>
      <c r="AC25" s="31"/>
      <c r="AD25" s="31">
        <v>1</v>
      </c>
      <c r="AE25" s="27">
        <f t="shared" si="7"/>
        <v>0</v>
      </c>
      <c r="AF25" s="25"/>
      <c r="AH25" s="32" t="s">
        <v>87</v>
      </c>
      <c r="AI25" s="33" t="s">
        <v>50</v>
      </c>
      <c r="AJ25" s="34" t="s">
        <v>51</v>
      </c>
      <c r="AK25" s="33" t="s">
        <v>88</v>
      </c>
      <c r="AL25" s="35" t="s">
        <v>60</v>
      </c>
      <c r="AM25" s="36" t="s">
        <v>89</v>
      </c>
    </row>
    <row r="26" spans="2:39" x14ac:dyDescent="0.2">
      <c r="B26" s="24">
        <v>1</v>
      </c>
      <c r="C26" s="25" t="s">
        <v>90</v>
      </c>
      <c r="D26" s="25" t="s">
        <v>91</v>
      </c>
      <c r="E26" s="25" t="s">
        <v>92</v>
      </c>
      <c r="F26" s="26"/>
      <c r="G26" s="27">
        <v>1317.04</v>
      </c>
      <c r="H26" s="27" t="str">
        <f t="shared" si="0"/>
        <v/>
      </c>
      <c r="I26" s="27">
        <v>1317.04</v>
      </c>
      <c r="J26" s="27" t="str">
        <f t="shared" si="1"/>
        <v/>
      </c>
      <c r="K26" s="28">
        <f t="shared" si="2"/>
        <v>0</v>
      </c>
      <c r="L26" s="27" t="str">
        <f t="shared" si="3"/>
        <v/>
      </c>
      <c r="M26" s="27" t="str">
        <f t="shared" si="4"/>
        <v/>
      </c>
      <c r="N26" s="27">
        <v>1317.04</v>
      </c>
      <c r="O26" s="27" t="str">
        <f t="shared" si="5"/>
        <v/>
      </c>
      <c r="P26" s="29">
        <v>4</v>
      </c>
      <c r="Q26" s="30">
        <f t="shared" si="6"/>
        <v>174.24</v>
      </c>
      <c r="R26" s="30" t="str">
        <f>IF(AND(TRIM(Q26)&lt;&gt;"",TRIM(F26)&lt;&gt;""),(F26*703.999999010471)/Q26,"")</f>
        <v/>
      </c>
      <c r="S26" s="31"/>
      <c r="T26" s="31"/>
      <c r="U26" s="31"/>
      <c r="V26" s="31"/>
      <c r="W26" s="31"/>
      <c r="X26" s="31"/>
      <c r="Y26" s="31"/>
      <c r="Z26" s="31" t="str">
        <f>IF(AND(B26 = 1, F26 &lt;&gt;""), Z84,"")</f>
        <v/>
      </c>
      <c r="AA26" s="31" t="str">
        <f>IF(F26 = "", "", IF(AND(AND(F26 &gt;= 3, F26 &lt;= 999999), AND(SUM(F22:F22) &gt;= 4, SUM(F22:F22) &lt; 999999)), 0.024232633279,""))</f>
        <v/>
      </c>
      <c r="AB26" s="31"/>
      <c r="AC26" s="31"/>
      <c r="AD26" s="31">
        <v>1</v>
      </c>
      <c r="AE26" s="27">
        <f t="shared" si="7"/>
        <v>0</v>
      </c>
      <c r="AF26" s="25"/>
      <c r="AH26" s="37" t="s">
        <v>93</v>
      </c>
      <c r="AI26" s="38" t="s">
        <v>94</v>
      </c>
      <c r="AJ26" s="39">
        <v>4</v>
      </c>
      <c r="AK26" s="24" t="s">
        <v>95</v>
      </c>
      <c r="AL26" s="40">
        <v>0.19500000000000001</v>
      </c>
      <c r="AM26" s="30">
        <v>24.016387652751401</v>
      </c>
    </row>
    <row r="27" spans="2:39" x14ac:dyDescent="0.2">
      <c r="B27" s="24">
        <v>1</v>
      </c>
      <c r="C27" s="25" t="s">
        <v>90</v>
      </c>
      <c r="D27" s="25" t="s">
        <v>96</v>
      </c>
      <c r="E27" s="25" t="s">
        <v>92</v>
      </c>
      <c r="F27" s="26"/>
      <c r="G27" s="27">
        <v>1317.04</v>
      </c>
      <c r="H27" s="27" t="str">
        <f t="shared" si="0"/>
        <v/>
      </c>
      <c r="I27" s="27">
        <v>1238</v>
      </c>
      <c r="J27" s="27" t="str">
        <f t="shared" si="1"/>
        <v/>
      </c>
      <c r="K27" s="28">
        <f t="shared" si="2"/>
        <v>0</v>
      </c>
      <c r="L27" s="27" t="str">
        <f t="shared" si="3"/>
        <v/>
      </c>
      <c r="M27" s="27" t="str">
        <f t="shared" si="4"/>
        <v/>
      </c>
      <c r="N27" s="27">
        <v>1238</v>
      </c>
      <c r="O27" s="27" t="str">
        <f t="shared" si="5"/>
        <v/>
      </c>
      <c r="P27" s="29">
        <v>4</v>
      </c>
      <c r="Q27" s="30">
        <f t="shared" si="6"/>
        <v>174.24</v>
      </c>
      <c r="R27" s="30" t="str">
        <f>IF(AND(TRIM(Q27)&lt;&gt;"",TRIM(F27)&lt;&gt;""),(F27*703.999999010471)/Q27,"")</f>
        <v/>
      </c>
      <c r="S27" s="31"/>
      <c r="T27" s="31"/>
      <c r="U27" s="31"/>
      <c r="V27" s="31"/>
      <c r="W27" s="31"/>
      <c r="X27" s="31"/>
      <c r="Y27" s="31"/>
      <c r="Z27" s="31" t="str">
        <f>IF(AND(B27 = 1, F27 &lt;&gt;""), Z84,"")</f>
        <v/>
      </c>
      <c r="AA27" s="31" t="str">
        <f>IF(F27 = "", "", IF(AND(AND(F27 &gt;= 3, F27 &lt;= 999999), AND(SUM(F22:F22) &gt;= 4, SUM(F22:F22) &lt; 999999)), 0.024232633279,""))</f>
        <v/>
      </c>
      <c r="AB27" s="31"/>
      <c r="AC27" s="31"/>
      <c r="AD27" s="31">
        <v>1</v>
      </c>
      <c r="AE27" s="27">
        <f t="shared" si="7"/>
        <v>0</v>
      </c>
      <c r="AF27" s="25"/>
      <c r="AH27" s="37" t="s">
        <v>97</v>
      </c>
      <c r="AI27" s="38" t="s">
        <v>98</v>
      </c>
      <c r="AJ27" s="39">
        <v>1</v>
      </c>
      <c r="AK27" s="24" t="s">
        <v>99</v>
      </c>
      <c r="AL27" s="40">
        <v>0.73499999999999999</v>
      </c>
      <c r="AM27" s="30">
        <v>3.99792419168871</v>
      </c>
    </row>
    <row r="28" spans="2:39" ht="27" x14ac:dyDescent="0.2">
      <c r="B28" s="24">
        <v>1</v>
      </c>
      <c r="C28" s="25" t="s">
        <v>100</v>
      </c>
      <c r="D28" s="25" t="s">
        <v>101</v>
      </c>
      <c r="E28" s="25" t="s">
        <v>94</v>
      </c>
      <c r="F28" s="26"/>
      <c r="G28" s="27">
        <v>600</v>
      </c>
      <c r="H28" s="27" t="str">
        <f t="shared" si="0"/>
        <v/>
      </c>
      <c r="I28" s="27">
        <v>600</v>
      </c>
      <c r="J28" s="27" t="str">
        <f t="shared" si="1"/>
        <v/>
      </c>
      <c r="K28" s="28">
        <f t="shared" si="2"/>
        <v>0</v>
      </c>
      <c r="L28" s="27" t="str">
        <f t="shared" si="3"/>
        <v/>
      </c>
      <c r="M28" s="27" t="str">
        <f t="shared" si="4"/>
        <v/>
      </c>
      <c r="N28" s="27">
        <v>600</v>
      </c>
      <c r="O28" s="27" t="str">
        <f t="shared" si="5"/>
        <v/>
      </c>
      <c r="P28" s="29">
        <v>0.19500000000000001</v>
      </c>
      <c r="Q28" s="30">
        <f t="shared" si="6"/>
        <v>8.4942000000000011</v>
      </c>
      <c r="R28" s="30" t="str">
        <f>IF(AND(TRIM(Q28)&lt;&gt;"",TRIM(F28)&lt;&gt;""),(F28*51)/Q28,"")</f>
        <v/>
      </c>
      <c r="S28" s="31"/>
      <c r="T28" s="31"/>
      <c r="U28" s="31"/>
      <c r="V28" s="31"/>
      <c r="W28" s="31"/>
      <c r="X28" s="31"/>
      <c r="Y28" s="31"/>
      <c r="Z28" s="31" t="str">
        <f>IF(AND(B28 = 1, F28 &lt;&gt;""), Z84,"")</f>
        <v/>
      </c>
      <c r="AA28" s="31" t="str">
        <f>IF(F28 = "", "", IF(AND(AND(F28 &gt;= 4, F28 &lt;= 999999), AND(SUM(F51:F51) &gt;= 1, SUM(F51:F51) &lt; 999999)), 0.05,""))</f>
        <v/>
      </c>
      <c r="AB28" s="31"/>
      <c r="AC28" s="31"/>
      <c r="AD28" s="31">
        <v>1</v>
      </c>
      <c r="AE28" s="27">
        <f t="shared" si="7"/>
        <v>0</v>
      </c>
      <c r="AF28" s="25"/>
      <c r="AH28" s="32" t="s">
        <v>102</v>
      </c>
      <c r="AI28" s="33" t="s">
        <v>50</v>
      </c>
      <c r="AJ28" s="34" t="s">
        <v>51</v>
      </c>
      <c r="AK28" s="33" t="s">
        <v>88</v>
      </c>
      <c r="AL28" s="35" t="s">
        <v>60</v>
      </c>
      <c r="AM28" s="36" t="s">
        <v>89</v>
      </c>
    </row>
    <row r="29" spans="2:39" x14ac:dyDescent="0.2">
      <c r="B29" s="24"/>
      <c r="C29" s="25" t="s">
        <v>103</v>
      </c>
      <c r="D29" s="25" t="s">
        <v>104</v>
      </c>
      <c r="E29" s="25" t="s">
        <v>16</v>
      </c>
      <c r="F29" s="26"/>
      <c r="G29" s="27">
        <v>286</v>
      </c>
      <c r="H29" s="27" t="str">
        <f t="shared" si="0"/>
        <v/>
      </c>
      <c r="I29" s="27">
        <v>286</v>
      </c>
      <c r="J29" s="27" t="str">
        <f t="shared" si="1"/>
        <v/>
      </c>
      <c r="K29" s="28">
        <f t="shared" si="2"/>
        <v>0</v>
      </c>
      <c r="L29" s="27" t="str">
        <f t="shared" si="3"/>
        <v/>
      </c>
      <c r="M29" s="27" t="str">
        <f t="shared" si="4"/>
        <v/>
      </c>
      <c r="N29" s="27">
        <v>0</v>
      </c>
      <c r="O29" s="27" t="str">
        <f t="shared" si="5"/>
        <v/>
      </c>
      <c r="P29" s="29">
        <v>4</v>
      </c>
      <c r="Q29" s="30">
        <f t="shared" si="6"/>
        <v>174.24</v>
      </c>
      <c r="R29" s="30" t="str">
        <f>IF(AND(TRIM(Q29)&lt;&gt;"",TRIM(F29)&lt;&gt;""),(F29*319.999849189052)/Q29,"")</f>
        <v/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27">
        <f t="shared" si="7"/>
        <v>0</v>
      </c>
      <c r="AF29" s="25"/>
      <c r="AH29" s="67" t="s">
        <v>105</v>
      </c>
      <c r="AI29" s="67"/>
      <c r="AJ29" s="68"/>
      <c r="AK29" s="67"/>
      <c r="AL29" s="69"/>
      <c r="AM29" s="70"/>
    </row>
    <row r="30" spans="2:39" x14ac:dyDescent="0.2">
      <c r="B30" s="24"/>
      <c r="C30" s="25" t="s">
        <v>106</v>
      </c>
      <c r="D30" s="25" t="s">
        <v>107</v>
      </c>
      <c r="E30" s="25" t="s">
        <v>16</v>
      </c>
      <c r="F30" s="26"/>
      <c r="G30" s="27">
        <v>142.38</v>
      </c>
      <c r="H30" s="27" t="str">
        <f t="shared" si="0"/>
        <v/>
      </c>
      <c r="I30" s="27">
        <v>142.38</v>
      </c>
      <c r="J30" s="27" t="str">
        <f t="shared" si="1"/>
        <v/>
      </c>
      <c r="K30" s="28">
        <f t="shared" si="2"/>
        <v>0</v>
      </c>
      <c r="L30" s="27" t="str">
        <f t="shared" si="3"/>
        <v/>
      </c>
      <c r="M30" s="27" t="str">
        <f t="shared" si="4"/>
        <v/>
      </c>
      <c r="N30" s="27">
        <v>0</v>
      </c>
      <c r="O30" s="27" t="str">
        <f t="shared" si="5"/>
        <v/>
      </c>
      <c r="P30" s="29">
        <v>5</v>
      </c>
      <c r="Q30" s="30">
        <f t="shared" si="6"/>
        <v>217.8</v>
      </c>
      <c r="R30" s="30" t="str">
        <f>IF(AND(TRIM(Q30)&lt;&gt;"",TRIM(F30)&lt;&gt;""),(F30*319.999849189052)/Q30,"")</f>
        <v/>
      </c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27">
        <f t="shared" si="7"/>
        <v>0</v>
      </c>
      <c r="AF30" s="25"/>
    </row>
    <row r="31" spans="2:39" x14ac:dyDescent="0.2">
      <c r="B31" s="24">
        <v>1</v>
      </c>
      <c r="C31" s="25" t="s">
        <v>108</v>
      </c>
      <c r="D31" s="25" t="s">
        <v>109</v>
      </c>
      <c r="E31" s="25" t="s">
        <v>110</v>
      </c>
      <c r="F31" s="26"/>
      <c r="G31" s="27">
        <v>1700</v>
      </c>
      <c r="H31" s="27" t="str">
        <f t="shared" si="0"/>
        <v/>
      </c>
      <c r="I31" s="27">
        <v>1700</v>
      </c>
      <c r="J31" s="27" t="str">
        <f t="shared" si="1"/>
        <v/>
      </c>
      <c r="K31" s="28">
        <f t="shared" si="2"/>
        <v>0</v>
      </c>
      <c r="L31" s="27" t="str">
        <f t="shared" si="3"/>
        <v/>
      </c>
      <c r="M31" s="27" t="str">
        <f t="shared" si="4"/>
        <v/>
      </c>
      <c r="N31" s="27">
        <v>1700</v>
      </c>
      <c r="O31" s="27" t="str">
        <f t="shared" si="5"/>
        <v/>
      </c>
      <c r="P31" s="29">
        <v>0.39</v>
      </c>
      <c r="Q31" s="30">
        <f t="shared" si="6"/>
        <v>16.988400000000002</v>
      </c>
      <c r="R31" s="30" t="str">
        <f>IF(AND(TRIM(Q31)&lt;&gt;"",TRIM(F31)&lt;&gt;""),(F31*17.1)/Q31,"")</f>
        <v/>
      </c>
      <c r="S31" s="31"/>
      <c r="T31" s="31"/>
      <c r="U31" s="31"/>
      <c r="V31" s="31"/>
      <c r="W31" s="31"/>
      <c r="X31" s="31"/>
      <c r="Y31" s="31"/>
      <c r="Z31" s="31" t="str">
        <f>IF(AND(B31 = 1, F31 &lt;&gt;""), Z84,"")</f>
        <v/>
      </c>
      <c r="AA31" s="31"/>
      <c r="AB31" s="31"/>
      <c r="AC31" s="31"/>
      <c r="AD31" s="31">
        <v>1</v>
      </c>
      <c r="AE31" s="27">
        <f t="shared" si="7"/>
        <v>0</v>
      </c>
      <c r="AF31" s="25"/>
    </row>
    <row r="32" spans="2:39" x14ac:dyDescent="0.2">
      <c r="B32" s="24">
        <v>1</v>
      </c>
      <c r="C32" s="25" t="s">
        <v>108</v>
      </c>
      <c r="D32" s="25" t="s">
        <v>111</v>
      </c>
      <c r="E32" s="25" t="s">
        <v>110</v>
      </c>
      <c r="F32" s="26"/>
      <c r="G32" s="27">
        <v>1700</v>
      </c>
      <c r="H32" s="27" t="str">
        <f t="shared" si="0"/>
        <v/>
      </c>
      <c r="I32" s="27">
        <v>1530</v>
      </c>
      <c r="J32" s="27" t="str">
        <f t="shared" si="1"/>
        <v/>
      </c>
      <c r="K32" s="28">
        <f t="shared" si="2"/>
        <v>0</v>
      </c>
      <c r="L32" s="27" t="str">
        <f t="shared" si="3"/>
        <v/>
      </c>
      <c r="M32" s="27" t="str">
        <f t="shared" si="4"/>
        <v/>
      </c>
      <c r="N32" s="27">
        <v>1530</v>
      </c>
      <c r="O32" s="27" t="str">
        <f t="shared" si="5"/>
        <v/>
      </c>
      <c r="P32" s="29">
        <v>0.39</v>
      </c>
      <c r="Q32" s="30">
        <f t="shared" si="6"/>
        <v>16.988400000000002</v>
      </c>
      <c r="R32" s="30" t="str">
        <f>IF(AND(TRIM(Q32)&lt;&gt;"",TRIM(F32)&lt;&gt;""),(F32*17.1)/Q32,"")</f>
        <v/>
      </c>
      <c r="S32" s="31"/>
      <c r="T32" s="31"/>
      <c r="U32" s="31"/>
      <c r="V32" s="31"/>
      <c r="W32" s="31"/>
      <c r="X32" s="31"/>
      <c r="Y32" s="31"/>
      <c r="Z32" s="31" t="str">
        <f>IF(AND(B32 = 1, F32 &lt;&gt;""), Z84,"")</f>
        <v/>
      </c>
      <c r="AA32" s="31"/>
      <c r="AB32" s="31"/>
      <c r="AC32" s="31"/>
      <c r="AD32" s="31">
        <v>1</v>
      </c>
      <c r="AE32" s="27">
        <f t="shared" si="7"/>
        <v>0</v>
      </c>
      <c r="AF32" s="25"/>
      <c r="AH32" s="71" t="s">
        <v>112</v>
      </c>
      <c r="AI32" s="71"/>
      <c r="AJ32" s="72"/>
      <c r="AK32" s="71"/>
      <c r="AL32" s="73"/>
      <c r="AM32" s="74"/>
    </row>
    <row r="33" spans="2:39" x14ac:dyDescent="0.2">
      <c r="B33" s="24">
        <v>1</v>
      </c>
      <c r="C33" s="25" t="s">
        <v>18</v>
      </c>
      <c r="D33" s="25" t="s">
        <v>113</v>
      </c>
      <c r="E33" s="25" t="s">
        <v>16</v>
      </c>
      <c r="F33" s="26"/>
      <c r="G33" s="27">
        <v>472.5</v>
      </c>
      <c r="H33" s="27" t="str">
        <f t="shared" si="0"/>
        <v/>
      </c>
      <c r="I33" s="27">
        <v>472.5</v>
      </c>
      <c r="J33" s="27" t="str">
        <f t="shared" si="1"/>
        <v/>
      </c>
      <c r="K33" s="28">
        <f t="shared" ca="1" si="2"/>
        <v>0</v>
      </c>
      <c r="L33" s="27" t="str">
        <f t="shared" si="3"/>
        <v/>
      </c>
      <c r="M33" s="27" t="str">
        <f t="shared" si="4"/>
        <v/>
      </c>
      <c r="N33" s="27">
        <v>472.5</v>
      </c>
      <c r="O33" s="27" t="str">
        <f t="shared" si="5"/>
        <v/>
      </c>
      <c r="P33" s="29">
        <v>4</v>
      </c>
      <c r="Q33" s="30">
        <f t="shared" si="6"/>
        <v>174.24</v>
      </c>
      <c r="R33" s="30" t="str">
        <f>IF(AND(TRIM(Q33)&lt;&gt;"",TRIM(F33)&lt;&gt;""),(F33*319.999849189052)/Q33,"")</f>
        <v/>
      </c>
      <c r="S33" s="31" t="str">
        <f ca="1">IF(AND(F33 &lt;&gt;"",F33&gt;0), IFERROR(VLOOKUP(F33,INDIRECT(AF33),3,TRUE),0), "")</f>
        <v/>
      </c>
      <c r="T33" s="31"/>
      <c r="U33" s="31"/>
      <c r="V33" s="31"/>
      <c r="W33" s="31"/>
      <c r="X33" s="31"/>
      <c r="Y33" s="31"/>
      <c r="Z33" s="31" t="str">
        <f>IF(AND(B33 = 1, F33 &lt;&gt;""), Z84,"")</f>
        <v/>
      </c>
      <c r="AA33" s="31" t="str">
        <f>IF(F33 = "", "", IF(AND(AND(F33 &gt;= 6, F33 &lt;= 999999), AND(SUM(F36:F36) &gt;= 2, SUM(F36:F36) &lt; 999999)), 0.050602409638,""))</f>
        <v/>
      </c>
      <c r="AB33" s="31"/>
      <c r="AC33" s="31"/>
      <c r="AD33" s="31">
        <v>1</v>
      </c>
      <c r="AE33" s="27">
        <f t="shared" si="7"/>
        <v>0</v>
      </c>
      <c r="AF33" s="25" t="s">
        <v>114</v>
      </c>
      <c r="AH33" s="71"/>
      <c r="AI33" s="71"/>
      <c r="AJ33" s="72"/>
      <c r="AK33" s="71"/>
      <c r="AL33" s="73"/>
      <c r="AM33" s="74"/>
    </row>
    <row r="34" spans="2:39" x14ac:dyDescent="0.2">
      <c r="B34" s="24">
        <v>1</v>
      </c>
      <c r="C34" s="25" t="s">
        <v>18</v>
      </c>
      <c r="D34" s="25" t="s">
        <v>115</v>
      </c>
      <c r="E34" s="25" t="s">
        <v>16</v>
      </c>
      <c r="F34" s="26"/>
      <c r="G34" s="27">
        <v>472.5</v>
      </c>
      <c r="H34" s="27" t="str">
        <f t="shared" si="0"/>
        <v/>
      </c>
      <c r="I34" s="27">
        <v>415</v>
      </c>
      <c r="J34" s="27" t="str">
        <f t="shared" si="1"/>
        <v/>
      </c>
      <c r="K34" s="28">
        <f t="shared" ca="1" si="2"/>
        <v>0</v>
      </c>
      <c r="L34" s="27" t="str">
        <f t="shared" si="3"/>
        <v/>
      </c>
      <c r="M34" s="27" t="str">
        <f t="shared" si="4"/>
        <v/>
      </c>
      <c r="N34" s="27">
        <v>415</v>
      </c>
      <c r="O34" s="27" t="str">
        <f t="shared" si="5"/>
        <v/>
      </c>
      <c r="P34" s="29">
        <v>4</v>
      </c>
      <c r="Q34" s="30">
        <f t="shared" si="6"/>
        <v>174.24</v>
      </c>
      <c r="R34" s="30" t="str">
        <f>IF(AND(TRIM(Q34)&lt;&gt;"",TRIM(F34)&lt;&gt;""),(F34*319.999849189052)/Q34,"")</f>
        <v/>
      </c>
      <c r="S34" s="31" t="str">
        <f ca="1">IF(AND(F34 &lt;&gt;"",F34&gt;0), IFERROR(VLOOKUP(F34,INDIRECT(AF34),3,TRUE),0), "")</f>
        <v/>
      </c>
      <c r="T34" s="31"/>
      <c r="U34" s="31"/>
      <c r="V34" s="31"/>
      <c r="W34" s="31"/>
      <c r="X34" s="31"/>
      <c r="Y34" s="31"/>
      <c r="Z34" s="31" t="str">
        <f>IF(AND(B34 = 1, F34 &lt;&gt;""), Z84,"")</f>
        <v/>
      </c>
      <c r="AA34" s="31" t="str">
        <f>IF(F34 = "", "", IF(AND(AND(F34 &gt;= 6, F34 &lt;= 999999), AND(SUM(F36:F36) &gt;= 2, SUM(F36:F36) &lt; 999999)), 0.050602409638,""))</f>
        <v/>
      </c>
      <c r="AB34" s="31"/>
      <c r="AC34" s="31"/>
      <c r="AD34" s="31">
        <v>1</v>
      </c>
      <c r="AE34" s="27">
        <f t="shared" si="7"/>
        <v>0</v>
      </c>
      <c r="AF34" s="25" t="s">
        <v>114</v>
      </c>
      <c r="AH34" s="75"/>
      <c r="AI34" s="75"/>
      <c r="AJ34" s="76"/>
      <c r="AK34" s="75"/>
      <c r="AL34" s="77"/>
      <c r="AM34" s="78"/>
    </row>
    <row r="35" spans="2:39" x14ac:dyDescent="0.2">
      <c r="B35" s="24"/>
      <c r="C35" s="25" t="s">
        <v>116</v>
      </c>
      <c r="D35" s="25" t="s">
        <v>117</v>
      </c>
      <c r="E35" s="25" t="s">
        <v>118</v>
      </c>
      <c r="F35" s="26"/>
      <c r="G35" s="27">
        <v>1255</v>
      </c>
      <c r="H35" s="27" t="str">
        <f t="shared" si="0"/>
        <v/>
      </c>
      <c r="I35" s="27">
        <v>1255</v>
      </c>
      <c r="J35" s="27" t="str">
        <f t="shared" si="1"/>
        <v/>
      </c>
      <c r="K35" s="28">
        <f t="shared" si="2"/>
        <v>0</v>
      </c>
      <c r="L35" s="27" t="str">
        <f t="shared" si="3"/>
        <v/>
      </c>
      <c r="M35" s="27" t="str">
        <f t="shared" si="4"/>
        <v/>
      </c>
      <c r="N35" s="27">
        <v>0</v>
      </c>
      <c r="O35" s="27" t="str">
        <f t="shared" si="5"/>
        <v/>
      </c>
      <c r="P35" s="29">
        <v>0.17199999999999999</v>
      </c>
      <c r="Q35" s="30">
        <f t="shared" si="6"/>
        <v>7.4923199999999994</v>
      </c>
      <c r="R35" s="30" t="str">
        <f>IF(AND(TRIM(Q35)&lt;&gt;"",TRIM(F35)&lt;&gt;""),(F35*176)/Q35,"")</f>
        <v/>
      </c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27">
        <f t="shared" si="7"/>
        <v>0</v>
      </c>
      <c r="AF35" s="25"/>
      <c r="AH35" s="75"/>
      <c r="AI35" s="75"/>
      <c r="AJ35" s="76"/>
      <c r="AK35" s="75"/>
      <c r="AL35" s="77"/>
      <c r="AM35" s="78"/>
    </row>
    <row r="36" spans="2:39" x14ac:dyDescent="0.2">
      <c r="B36" s="24">
        <v>1</v>
      </c>
      <c r="C36" s="25" t="s">
        <v>22</v>
      </c>
      <c r="D36" s="25" t="s">
        <v>23</v>
      </c>
      <c r="E36" s="25" t="s">
        <v>16</v>
      </c>
      <c r="F36" s="26"/>
      <c r="G36" s="27">
        <v>417</v>
      </c>
      <c r="H36" s="27" t="str">
        <f t="shared" si="0"/>
        <v/>
      </c>
      <c r="I36" s="27">
        <v>417</v>
      </c>
      <c r="J36" s="27" t="str">
        <f t="shared" si="1"/>
        <v/>
      </c>
      <c r="K36" s="28">
        <f t="shared" ca="1" si="2"/>
        <v>0</v>
      </c>
      <c r="L36" s="27" t="str">
        <f t="shared" si="3"/>
        <v/>
      </c>
      <c r="M36" s="27" t="str">
        <f t="shared" si="4"/>
        <v/>
      </c>
      <c r="N36" s="27">
        <v>417</v>
      </c>
      <c r="O36" s="27" t="str">
        <f t="shared" si="5"/>
        <v/>
      </c>
      <c r="P36" s="29">
        <v>1</v>
      </c>
      <c r="Q36" s="30">
        <f t="shared" si="6"/>
        <v>43.56</v>
      </c>
      <c r="R36" s="30" t="str">
        <f>IF(AND(TRIM(Q36)&lt;&gt;"",TRIM(F36)&lt;&gt;""),(F36*319.999849189052)/Q36,"")</f>
        <v/>
      </c>
      <c r="S36" s="31" t="str">
        <f ca="1">IF(AND(F36 &lt;&gt;"",F36&gt;0), IFERROR(VLOOKUP(F36,INDIRECT(AF36),3,TRUE),0), "")</f>
        <v/>
      </c>
      <c r="T36" s="31"/>
      <c r="U36" s="31"/>
      <c r="V36" s="31"/>
      <c r="W36" s="31"/>
      <c r="X36" s="31"/>
      <c r="Y36" s="31"/>
      <c r="Z36" s="31" t="str">
        <f>IF(AND(B36 = 1, F36 &lt;&gt;""), Z84,"")</f>
        <v/>
      </c>
      <c r="AA36" s="31" t="str">
        <f>IF(F36 = "", "", IF(AND(AND(F36 &gt;= 2, F36 &lt;= 999999), AND(SUM(F33:F34) &gt;= 6, SUM(F33:F34) &lt; 999999)), 0.05035971223,""))</f>
        <v/>
      </c>
      <c r="AB36" s="31"/>
      <c r="AC36" s="31"/>
      <c r="AD36" s="31">
        <v>1</v>
      </c>
      <c r="AE36" s="27">
        <f t="shared" si="7"/>
        <v>0</v>
      </c>
      <c r="AF36" s="25" t="s">
        <v>119</v>
      </c>
      <c r="AH36" s="63"/>
      <c r="AI36" s="63"/>
      <c r="AJ36" s="64"/>
      <c r="AK36" s="63"/>
      <c r="AL36" s="65"/>
      <c r="AM36" s="66"/>
    </row>
    <row r="37" spans="2:39" ht="27" x14ac:dyDescent="0.2">
      <c r="B37" s="24">
        <v>1</v>
      </c>
      <c r="C37" s="25" t="s">
        <v>120</v>
      </c>
      <c r="D37" s="25" t="s">
        <v>121</v>
      </c>
      <c r="E37" s="25" t="s">
        <v>122</v>
      </c>
      <c r="F37" s="26"/>
      <c r="G37" s="27">
        <v>626.29999999999995</v>
      </c>
      <c r="H37" s="27" t="str">
        <f t="shared" si="0"/>
        <v/>
      </c>
      <c r="I37" s="27">
        <v>626.29999999999995</v>
      </c>
      <c r="J37" s="27" t="str">
        <f t="shared" si="1"/>
        <v/>
      </c>
      <c r="K37" s="28">
        <f t="shared" si="2"/>
        <v>0</v>
      </c>
      <c r="L37" s="27" t="str">
        <f t="shared" si="3"/>
        <v/>
      </c>
      <c r="M37" s="27" t="str">
        <f t="shared" si="4"/>
        <v/>
      </c>
      <c r="N37" s="27">
        <v>626.29999999999995</v>
      </c>
      <c r="O37" s="27" t="str">
        <f t="shared" si="5"/>
        <v/>
      </c>
      <c r="P37" s="29">
        <v>0.4</v>
      </c>
      <c r="Q37" s="30">
        <f t="shared" si="6"/>
        <v>17.424000000000003</v>
      </c>
      <c r="R37" s="30" t="str">
        <f>IF(AND(TRIM(Q37)&lt;&gt;"",TRIM(F37)&lt;&gt;""),(F37*87)/Q37,"")</f>
        <v/>
      </c>
      <c r="S37" s="31"/>
      <c r="T37" s="31"/>
      <c r="U37" s="31"/>
      <c r="V37" s="31"/>
      <c r="W37" s="31"/>
      <c r="X37" s="31"/>
      <c r="Y37" s="31"/>
      <c r="Z37" s="31" t="str">
        <f>IF(AND(B37 = 1, F37 &lt;&gt;""), Z84,"")</f>
        <v/>
      </c>
      <c r="AA37" s="31"/>
      <c r="AB37" s="31"/>
      <c r="AC37" s="31"/>
      <c r="AD37" s="31">
        <v>1</v>
      </c>
      <c r="AE37" s="27">
        <f t="shared" si="7"/>
        <v>0</v>
      </c>
      <c r="AF37" s="25"/>
      <c r="AH37" s="32" t="s">
        <v>87</v>
      </c>
      <c r="AI37" s="33" t="s">
        <v>50</v>
      </c>
      <c r="AJ37" s="34" t="s">
        <v>51</v>
      </c>
      <c r="AK37" s="33" t="s">
        <v>88</v>
      </c>
      <c r="AL37" s="35" t="s">
        <v>60</v>
      </c>
      <c r="AM37" s="36" t="s">
        <v>89</v>
      </c>
    </row>
    <row r="38" spans="2:39" x14ac:dyDescent="0.2">
      <c r="B38" s="24"/>
      <c r="C38" s="25" t="s">
        <v>123</v>
      </c>
      <c r="D38" s="25" t="s">
        <v>124</v>
      </c>
      <c r="E38" s="25" t="s">
        <v>16</v>
      </c>
      <c r="F38" s="26"/>
      <c r="G38" s="27">
        <v>447.8</v>
      </c>
      <c r="H38" s="27" t="str">
        <f t="shared" si="0"/>
        <v/>
      </c>
      <c r="I38" s="27">
        <v>447.8</v>
      </c>
      <c r="J38" s="27" t="str">
        <f t="shared" si="1"/>
        <v/>
      </c>
      <c r="K38" s="28">
        <f t="shared" si="2"/>
        <v>0</v>
      </c>
      <c r="L38" s="27" t="str">
        <f t="shared" si="3"/>
        <v/>
      </c>
      <c r="M38" s="27" t="str">
        <f t="shared" si="4"/>
        <v/>
      </c>
      <c r="N38" s="27">
        <v>0</v>
      </c>
      <c r="O38" s="27" t="str">
        <f t="shared" si="5"/>
        <v/>
      </c>
      <c r="P38" s="29">
        <v>2.33</v>
      </c>
      <c r="Q38" s="30">
        <f t="shared" si="6"/>
        <v>101.49480000000001</v>
      </c>
      <c r="R38" s="30" t="str">
        <f>IF(AND(TRIM(Q38)&lt;&gt;"",TRIM(F38)&lt;&gt;""),(F38*319.999849189052)/Q38,"")</f>
        <v/>
      </c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27">
        <f t="shared" si="7"/>
        <v>0</v>
      </c>
      <c r="AF38" s="25"/>
      <c r="AH38" s="37" t="s">
        <v>93</v>
      </c>
      <c r="AI38" s="38" t="s">
        <v>94</v>
      </c>
      <c r="AJ38" s="39">
        <v>1</v>
      </c>
      <c r="AK38" s="24" t="s">
        <v>125</v>
      </c>
      <c r="AL38" s="40">
        <v>0.19500000000000001</v>
      </c>
      <c r="AM38" s="30">
        <v>6.0040969131878299</v>
      </c>
    </row>
    <row r="39" spans="2:39" x14ac:dyDescent="0.2">
      <c r="B39" s="24"/>
      <c r="C39" s="25" t="s">
        <v>123</v>
      </c>
      <c r="D39" s="25" t="s">
        <v>126</v>
      </c>
      <c r="E39" s="25" t="s">
        <v>16</v>
      </c>
      <c r="F39" s="26"/>
      <c r="G39" s="27">
        <v>447.8</v>
      </c>
      <c r="H39" s="27" t="str">
        <f t="shared" si="0"/>
        <v/>
      </c>
      <c r="I39" s="27">
        <v>375.49</v>
      </c>
      <c r="J39" s="27" t="str">
        <f t="shared" si="1"/>
        <v/>
      </c>
      <c r="K39" s="28">
        <f t="shared" si="2"/>
        <v>0</v>
      </c>
      <c r="L39" s="27" t="str">
        <f t="shared" si="3"/>
        <v/>
      </c>
      <c r="M39" s="27" t="str">
        <f t="shared" si="4"/>
        <v/>
      </c>
      <c r="N39" s="27">
        <v>0</v>
      </c>
      <c r="O39" s="27" t="str">
        <f t="shared" si="5"/>
        <v/>
      </c>
      <c r="P39" s="29">
        <v>2.33</v>
      </c>
      <c r="Q39" s="30">
        <f t="shared" si="6"/>
        <v>101.49480000000001</v>
      </c>
      <c r="R39" s="30" t="str">
        <f>IF(AND(TRIM(Q39)&lt;&gt;"",TRIM(F39)&lt;&gt;""),(F39*319.999849189052)/Q39,"")</f>
        <v/>
      </c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27">
        <f t="shared" si="7"/>
        <v>0</v>
      </c>
      <c r="AF39" s="25"/>
      <c r="AH39" s="37" t="s">
        <v>97</v>
      </c>
      <c r="AI39" s="38" t="s">
        <v>98</v>
      </c>
      <c r="AJ39" s="39">
        <v>4</v>
      </c>
      <c r="AK39" s="24" t="s">
        <v>127</v>
      </c>
      <c r="AL39" s="40">
        <v>0.73499999999999999</v>
      </c>
      <c r="AM39" s="30">
        <v>15.991696766754799</v>
      </c>
    </row>
    <row r="40" spans="2:39" ht="27" x14ac:dyDescent="0.2">
      <c r="B40" s="24"/>
      <c r="C40" s="25" t="s">
        <v>123</v>
      </c>
      <c r="D40" s="25" t="s">
        <v>128</v>
      </c>
      <c r="E40" s="25" t="s">
        <v>16</v>
      </c>
      <c r="F40" s="26"/>
      <c r="G40" s="27">
        <v>447.8</v>
      </c>
      <c r="H40" s="27" t="str">
        <f t="shared" si="0"/>
        <v/>
      </c>
      <c r="I40" s="27">
        <v>325.68</v>
      </c>
      <c r="J40" s="27" t="str">
        <f t="shared" si="1"/>
        <v/>
      </c>
      <c r="K40" s="28">
        <f t="shared" si="2"/>
        <v>0</v>
      </c>
      <c r="L40" s="27" t="str">
        <f t="shared" si="3"/>
        <v/>
      </c>
      <c r="M40" s="27" t="str">
        <f t="shared" si="4"/>
        <v/>
      </c>
      <c r="N40" s="27">
        <v>0</v>
      </c>
      <c r="O40" s="27" t="str">
        <f t="shared" si="5"/>
        <v/>
      </c>
      <c r="P40" s="29">
        <v>2.33</v>
      </c>
      <c r="Q40" s="30">
        <f t="shared" si="6"/>
        <v>101.49480000000001</v>
      </c>
      <c r="R40" s="30" t="str">
        <f>IF(AND(TRIM(Q40)&lt;&gt;"",TRIM(F40)&lt;&gt;""),(F40*319.999849189052)/Q40,"")</f>
        <v/>
      </c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27">
        <f t="shared" si="7"/>
        <v>0</v>
      </c>
      <c r="AF40" s="25"/>
      <c r="AH40" s="32" t="s">
        <v>102</v>
      </c>
      <c r="AI40" s="33" t="s">
        <v>50</v>
      </c>
      <c r="AJ40" s="34" t="s">
        <v>51</v>
      </c>
      <c r="AK40" s="33" t="s">
        <v>88</v>
      </c>
      <c r="AL40" s="35" t="s">
        <v>60</v>
      </c>
      <c r="AM40" s="36" t="s">
        <v>89</v>
      </c>
    </row>
    <row r="41" spans="2:39" x14ac:dyDescent="0.2">
      <c r="B41" s="24">
        <v>1</v>
      </c>
      <c r="C41" s="25" t="s">
        <v>25</v>
      </c>
      <c r="D41" s="25" t="s">
        <v>129</v>
      </c>
      <c r="E41" s="25" t="s">
        <v>27</v>
      </c>
      <c r="F41" s="26"/>
      <c r="G41" s="27">
        <v>175</v>
      </c>
      <c r="H41" s="27" t="str">
        <f t="shared" si="0"/>
        <v/>
      </c>
      <c r="I41" s="27">
        <v>175</v>
      </c>
      <c r="J41" s="27" t="str">
        <f t="shared" si="1"/>
        <v/>
      </c>
      <c r="K41" s="28">
        <f t="shared" ca="1" si="2"/>
        <v>0</v>
      </c>
      <c r="L41" s="27" t="str">
        <f t="shared" si="3"/>
        <v/>
      </c>
      <c r="M41" s="27" t="str">
        <f t="shared" si="4"/>
        <v/>
      </c>
      <c r="N41" s="27">
        <v>175</v>
      </c>
      <c r="O41" s="27" t="str">
        <f t="shared" si="5"/>
        <v/>
      </c>
      <c r="P41" s="29">
        <v>4</v>
      </c>
      <c r="Q41" s="30">
        <f t="shared" si="6"/>
        <v>174.24</v>
      </c>
      <c r="R41" s="30" t="str">
        <f>IF(AND(TRIM(Q41)&lt;&gt;"",TRIM(F41)&lt;&gt;""),(F41*87.9999998763089)/Q41,"")</f>
        <v/>
      </c>
      <c r="S41" s="31" t="str">
        <f ca="1">IF(AND(F41 &lt;&gt;"",F41&gt;0), IFERROR(VLOOKUP(F41,INDIRECT(AF41),3,TRUE),0), "")</f>
        <v/>
      </c>
      <c r="T41" s="31"/>
      <c r="U41" s="31"/>
      <c r="V41" s="31"/>
      <c r="W41" s="31"/>
      <c r="X41" s="31"/>
      <c r="Y41" s="31"/>
      <c r="Z41" s="31" t="str">
        <f>IF(AND(B41 = 1, F41 &lt;&gt;""), Z84,"")</f>
        <v/>
      </c>
      <c r="AA41" s="31" t="str">
        <f>IF(F41 = "", "", IF(AND(AND(F41 &gt;= 24, F41 &lt;= 999999), AND(SUM(F22:F22) &gt;= 4, SUM(F22:F22) &lt; 999999)), 0.025,""))</f>
        <v/>
      </c>
      <c r="AB41" s="31"/>
      <c r="AC41" s="31"/>
      <c r="AD41" s="31">
        <v>1</v>
      </c>
      <c r="AE41" s="27">
        <f t="shared" si="7"/>
        <v>0</v>
      </c>
      <c r="AF41" s="25" t="s">
        <v>130</v>
      </c>
      <c r="AH41" s="67" t="s">
        <v>105</v>
      </c>
      <c r="AI41" s="67"/>
      <c r="AJ41" s="68"/>
      <c r="AK41" s="67"/>
      <c r="AL41" s="69"/>
      <c r="AM41" s="70"/>
    </row>
    <row r="42" spans="2:39" x14ac:dyDescent="0.2">
      <c r="B42" s="24">
        <v>1</v>
      </c>
      <c r="C42" s="25" t="s">
        <v>25</v>
      </c>
      <c r="D42" s="25" t="s">
        <v>131</v>
      </c>
      <c r="E42" s="25" t="s">
        <v>27</v>
      </c>
      <c r="F42" s="26"/>
      <c r="G42" s="27">
        <v>175</v>
      </c>
      <c r="H42" s="27" t="str">
        <f t="shared" si="0"/>
        <v/>
      </c>
      <c r="I42" s="27">
        <v>160</v>
      </c>
      <c r="J42" s="27" t="str">
        <f t="shared" si="1"/>
        <v/>
      </c>
      <c r="K42" s="28">
        <f t="shared" ca="1" si="2"/>
        <v>0</v>
      </c>
      <c r="L42" s="27" t="str">
        <f t="shared" si="3"/>
        <v/>
      </c>
      <c r="M42" s="27" t="str">
        <f t="shared" si="4"/>
        <v/>
      </c>
      <c r="N42" s="27">
        <v>160</v>
      </c>
      <c r="O42" s="27" t="str">
        <f t="shared" si="5"/>
        <v/>
      </c>
      <c r="P42" s="29">
        <v>4</v>
      </c>
      <c r="Q42" s="30">
        <f t="shared" si="6"/>
        <v>174.24</v>
      </c>
      <c r="R42" s="30" t="str">
        <f>IF(AND(TRIM(Q42)&lt;&gt;"",TRIM(F42)&lt;&gt;""),(F42*87.9999998763089)/Q42,"")</f>
        <v/>
      </c>
      <c r="S42" s="31" t="str">
        <f ca="1">IF(AND(F42 &lt;&gt;"",F42&gt;0), IFERROR(VLOOKUP(F42,INDIRECT(AF42),3,TRUE),0), "")</f>
        <v/>
      </c>
      <c r="T42" s="31"/>
      <c r="U42" s="31"/>
      <c r="V42" s="31"/>
      <c r="W42" s="31"/>
      <c r="X42" s="31"/>
      <c r="Y42" s="31"/>
      <c r="Z42" s="31" t="str">
        <f>IF(AND(B42 = 1, F42 &lt;&gt;""), Z84,"")</f>
        <v/>
      </c>
      <c r="AA42" s="31" t="str">
        <f>IF(F42 = "", "", IF(AND(AND(F42 &gt;= 24, F42 &lt;= 999999), AND(SUM(F22:F22) &gt;= 4, SUM(F22:F22) &lt; 999999)), 0.025,""))</f>
        <v/>
      </c>
      <c r="AB42" s="31"/>
      <c r="AC42" s="31"/>
      <c r="AD42" s="31">
        <v>1</v>
      </c>
      <c r="AE42" s="27">
        <f t="shared" si="7"/>
        <v>0</v>
      </c>
      <c r="AF42" s="25" t="s">
        <v>130</v>
      </c>
    </row>
    <row r="43" spans="2:39" x14ac:dyDescent="0.2">
      <c r="B43" s="24">
        <v>1</v>
      </c>
      <c r="C43" s="25" t="s">
        <v>132</v>
      </c>
      <c r="D43" s="25" t="s">
        <v>133</v>
      </c>
      <c r="E43" s="25" t="s">
        <v>134</v>
      </c>
      <c r="F43" s="26"/>
      <c r="G43" s="27">
        <v>1730</v>
      </c>
      <c r="H43" s="27" t="str">
        <f t="shared" si="0"/>
        <v/>
      </c>
      <c r="I43" s="27">
        <v>1730</v>
      </c>
      <c r="J43" s="27" t="str">
        <f t="shared" si="1"/>
        <v/>
      </c>
      <c r="K43" s="28">
        <f t="shared" si="2"/>
        <v>0</v>
      </c>
      <c r="L43" s="27" t="str">
        <f t="shared" si="3"/>
        <v/>
      </c>
      <c r="M43" s="27" t="str">
        <f t="shared" si="4"/>
        <v/>
      </c>
      <c r="N43" s="27">
        <v>1730</v>
      </c>
      <c r="O43" s="27" t="str">
        <f t="shared" si="5"/>
        <v/>
      </c>
      <c r="P43" s="29">
        <v>0.13800000000000001</v>
      </c>
      <c r="Q43" s="30">
        <f t="shared" si="6"/>
        <v>6.0112800000000011</v>
      </c>
      <c r="R43" s="30" t="str">
        <f>IF(AND(TRIM(Q43)&lt;&gt;"",TRIM(F43)&lt;&gt;""),(F43*127.999939675621)/Q43,"")</f>
        <v/>
      </c>
      <c r="S43" s="31"/>
      <c r="T43" s="31"/>
      <c r="U43" s="31"/>
      <c r="V43" s="31"/>
      <c r="W43" s="31"/>
      <c r="X43" s="31"/>
      <c r="Y43" s="31"/>
      <c r="Z43" s="31" t="str">
        <f>IF(AND(B43 = 1, AND(F43 &lt;&gt;"", F43 &lt; 1)), Z84,"")</f>
        <v/>
      </c>
      <c r="AA43" s="31"/>
      <c r="AB43" s="31"/>
      <c r="AC43" s="31"/>
      <c r="AD43" s="31">
        <v>1</v>
      </c>
      <c r="AE43" s="27">
        <f t="shared" si="7"/>
        <v>0</v>
      </c>
      <c r="AF43" s="25"/>
    </row>
    <row r="44" spans="2:39" x14ac:dyDescent="0.2">
      <c r="B44" s="24">
        <v>1</v>
      </c>
      <c r="C44" s="25" t="s">
        <v>132</v>
      </c>
      <c r="D44" s="25" t="s">
        <v>135</v>
      </c>
      <c r="E44" s="25" t="s">
        <v>134</v>
      </c>
      <c r="F44" s="26"/>
      <c r="G44" s="27">
        <v>1730</v>
      </c>
      <c r="H44" s="27" t="str">
        <f t="shared" si="0"/>
        <v/>
      </c>
      <c r="I44" s="27">
        <v>1680</v>
      </c>
      <c r="J44" s="27" t="str">
        <f t="shared" si="1"/>
        <v/>
      </c>
      <c r="K44" s="28">
        <f t="shared" si="2"/>
        <v>0</v>
      </c>
      <c r="L44" s="27" t="str">
        <f t="shared" si="3"/>
        <v/>
      </c>
      <c r="M44" s="27" t="str">
        <f t="shared" si="4"/>
        <v/>
      </c>
      <c r="N44" s="27">
        <v>1680</v>
      </c>
      <c r="O44" s="27" t="str">
        <f t="shared" si="5"/>
        <v/>
      </c>
      <c r="P44" s="29">
        <v>0.13800000000000001</v>
      </c>
      <c r="Q44" s="30">
        <f t="shared" si="6"/>
        <v>6.0112800000000011</v>
      </c>
      <c r="R44" s="30" t="str">
        <f>IF(AND(TRIM(Q44)&lt;&gt;"",TRIM(F44)&lt;&gt;""),(F44*127.999939675621)/Q44,"")</f>
        <v/>
      </c>
      <c r="S44" s="31"/>
      <c r="T44" s="31"/>
      <c r="U44" s="31"/>
      <c r="V44" s="31"/>
      <c r="W44" s="31"/>
      <c r="X44" s="31"/>
      <c r="Y44" s="31"/>
      <c r="Z44" s="31" t="str">
        <f>IF(AND(B44 = 1, AND(F44 &lt;&gt;"", F44 &lt; 1)), Z84,"")</f>
        <v/>
      </c>
      <c r="AA44" s="31"/>
      <c r="AB44" s="31"/>
      <c r="AC44" s="31"/>
      <c r="AD44" s="31">
        <v>1</v>
      </c>
      <c r="AE44" s="27">
        <f t="shared" si="7"/>
        <v>0</v>
      </c>
      <c r="AF44" s="25"/>
      <c r="AH44" s="71" t="s">
        <v>136</v>
      </c>
      <c r="AI44" s="71"/>
      <c r="AJ44" s="72"/>
      <c r="AK44" s="71"/>
      <c r="AL44" s="73"/>
      <c r="AM44" s="74"/>
    </row>
    <row r="45" spans="2:39" x14ac:dyDescent="0.2">
      <c r="B45" s="24">
        <v>1</v>
      </c>
      <c r="C45" s="25" t="s">
        <v>132</v>
      </c>
      <c r="D45" s="25" t="s">
        <v>137</v>
      </c>
      <c r="E45" s="25" t="s">
        <v>134</v>
      </c>
      <c r="F45" s="26"/>
      <c r="G45" s="27">
        <v>1730</v>
      </c>
      <c r="H45" s="27" t="str">
        <f t="shared" si="0"/>
        <v/>
      </c>
      <c r="I45" s="27">
        <v>1485</v>
      </c>
      <c r="J45" s="27" t="str">
        <f t="shared" si="1"/>
        <v/>
      </c>
      <c r="K45" s="28">
        <f t="shared" si="2"/>
        <v>0</v>
      </c>
      <c r="L45" s="27" t="str">
        <f t="shared" si="3"/>
        <v/>
      </c>
      <c r="M45" s="27" t="str">
        <f t="shared" si="4"/>
        <v/>
      </c>
      <c r="N45" s="27">
        <v>1485</v>
      </c>
      <c r="O45" s="27" t="str">
        <f t="shared" si="5"/>
        <v/>
      </c>
      <c r="P45" s="29">
        <v>0.13800000000000001</v>
      </c>
      <c r="Q45" s="30">
        <f t="shared" si="6"/>
        <v>6.0112800000000011</v>
      </c>
      <c r="R45" s="30" t="str">
        <f>IF(AND(TRIM(Q45)&lt;&gt;"",TRIM(F45)&lt;&gt;""),(F45*127.999939675621)/Q45,"")</f>
        <v/>
      </c>
      <c r="S45" s="31"/>
      <c r="T45" s="31"/>
      <c r="U45" s="31"/>
      <c r="V45" s="31"/>
      <c r="W45" s="31"/>
      <c r="X45" s="31"/>
      <c r="Y45" s="31"/>
      <c r="Z45" s="31" t="str">
        <f>IF(AND(B45 = 1, AND(F45 &lt;&gt;"", F45 &lt; 1)), Z84,"")</f>
        <v/>
      </c>
      <c r="AA45" s="31"/>
      <c r="AB45" s="31"/>
      <c r="AC45" s="31"/>
      <c r="AD45" s="31">
        <v>1</v>
      </c>
      <c r="AE45" s="27">
        <f t="shared" si="7"/>
        <v>0</v>
      </c>
      <c r="AF45" s="25"/>
      <c r="AH45" s="71"/>
      <c r="AI45" s="71"/>
      <c r="AJ45" s="72"/>
      <c r="AK45" s="71"/>
      <c r="AL45" s="73"/>
      <c r="AM45" s="74"/>
    </row>
    <row r="46" spans="2:39" x14ac:dyDescent="0.2">
      <c r="B46" s="24">
        <v>1</v>
      </c>
      <c r="C46" s="25" t="s">
        <v>132</v>
      </c>
      <c r="D46" s="25" t="s">
        <v>138</v>
      </c>
      <c r="E46" s="25" t="s">
        <v>134</v>
      </c>
      <c r="F46" s="26"/>
      <c r="G46" s="27">
        <v>1730</v>
      </c>
      <c r="H46" s="27" t="str">
        <f t="shared" si="0"/>
        <v/>
      </c>
      <c r="I46" s="27">
        <v>1435</v>
      </c>
      <c r="J46" s="27" t="str">
        <f t="shared" si="1"/>
        <v/>
      </c>
      <c r="K46" s="28">
        <f t="shared" si="2"/>
        <v>0</v>
      </c>
      <c r="L46" s="27" t="str">
        <f t="shared" si="3"/>
        <v/>
      </c>
      <c r="M46" s="27" t="str">
        <f t="shared" si="4"/>
        <v/>
      </c>
      <c r="N46" s="27">
        <v>1435</v>
      </c>
      <c r="O46" s="27" t="str">
        <f t="shared" si="5"/>
        <v/>
      </c>
      <c r="P46" s="29">
        <v>0.13800000000000001</v>
      </c>
      <c r="Q46" s="30">
        <f t="shared" si="6"/>
        <v>6.0112800000000011</v>
      </c>
      <c r="R46" s="30" t="str">
        <f>IF(AND(TRIM(Q46)&lt;&gt;"",TRIM(F46)&lt;&gt;""),(F46*127.999939675621)/Q46,"")</f>
        <v/>
      </c>
      <c r="S46" s="31"/>
      <c r="T46" s="31"/>
      <c r="U46" s="31"/>
      <c r="V46" s="31"/>
      <c r="W46" s="31"/>
      <c r="X46" s="31"/>
      <c r="Y46" s="31"/>
      <c r="Z46" s="31" t="str">
        <f>IF(AND(B46 = 1, AND(F46 &lt;&gt;"", F46 &lt; 1)), Z84,"")</f>
        <v/>
      </c>
      <c r="AA46" s="31"/>
      <c r="AB46" s="31"/>
      <c r="AC46" s="31"/>
      <c r="AD46" s="31">
        <v>1</v>
      </c>
      <c r="AE46" s="27">
        <f t="shared" si="7"/>
        <v>0</v>
      </c>
      <c r="AF46" s="25"/>
      <c r="AH46" s="75"/>
      <c r="AI46" s="75"/>
      <c r="AJ46" s="76"/>
      <c r="AK46" s="75"/>
      <c r="AL46" s="77"/>
      <c r="AM46" s="78"/>
    </row>
    <row r="47" spans="2:39" x14ac:dyDescent="0.2">
      <c r="B47" s="24"/>
      <c r="C47" s="25" t="s">
        <v>139</v>
      </c>
      <c r="D47" s="25" t="s">
        <v>140</v>
      </c>
      <c r="E47" s="25" t="s">
        <v>141</v>
      </c>
      <c r="F47" s="26"/>
      <c r="G47" s="27">
        <v>254.25</v>
      </c>
      <c r="H47" s="27" t="str">
        <f t="shared" si="0"/>
        <v/>
      </c>
      <c r="I47" s="27">
        <v>254.25</v>
      </c>
      <c r="J47" s="27" t="str">
        <f t="shared" si="1"/>
        <v/>
      </c>
      <c r="K47" s="28">
        <f t="shared" si="2"/>
        <v>0</v>
      </c>
      <c r="L47" s="27" t="str">
        <f t="shared" si="3"/>
        <v/>
      </c>
      <c r="M47" s="27" t="str">
        <f t="shared" si="4"/>
        <v/>
      </c>
      <c r="N47" s="27">
        <v>0</v>
      </c>
      <c r="O47" s="27" t="str">
        <f t="shared" si="5"/>
        <v/>
      </c>
      <c r="P47" s="29">
        <v>0.15</v>
      </c>
      <c r="Q47" s="30">
        <f t="shared" si="6"/>
        <v>6.5339999999999998</v>
      </c>
      <c r="R47" s="30" t="str">
        <f>IF(AND(TRIM(Q47)&lt;&gt;"",TRIM(F47)&lt;&gt;""),(F47*18)/Q47,"")</f>
        <v/>
      </c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27">
        <f t="shared" si="7"/>
        <v>0</v>
      </c>
      <c r="AF47" s="25"/>
      <c r="AH47" s="75"/>
      <c r="AI47" s="75"/>
      <c r="AJ47" s="76"/>
      <c r="AK47" s="75"/>
      <c r="AL47" s="77"/>
      <c r="AM47" s="78"/>
    </row>
    <row r="48" spans="2:39" x14ac:dyDescent="0.2">
      <c r="B48" s="24">
        <v>1</v>
      </c>
      <c r="C48" s="25" t="s">
        <v>30</v>
      </c>
      <c r="D48" s="25" t="s">
        <v>31</v>
      </c>
      <c r="E48" s="25" t="s">
        <v>32</v>
      </c>
      <c r="F48" s="26"/>
      <c r="G48" s="27">
        <v>101</v>
      </c>
      <c r="H48" s="27" t="str">
        <f t="shared" si="0"/>
        <v/>
      </c>
      <c r="I48" s="27">
        <v>101</v>
      </c>
      <c r="J48" s="27" t="str">
        <f t="shared" si="1"/>
        <v/>
      </c>
      <c r="K48" s="28">
        <f t="shared" ca="1" si="2"/>
        <v>0</v>
      </c>
      <c r="L48" s="27" t="str">
        <f t="shared" si="3"/>
        <v/>
      </c>
      <c r="M48" s="27" t="str">
        <f t="shared" si="4"/>
        <v/>
      </c>
      <c r="N48" s="27">
        <v>101</v>
      </c>
      <c r="O48" s="27" t="str">
        <f t="shared" si="5"/>
        <v/>
      </c>
      <c r="P48" s="29">
        <v>3.45</v>
      </c>
      <c r="Q48" s="30">
        <f t="shared" si="6"/>
        <v>150.28200000000001</v>
      </c>
      <c r="R48" s="30" t="str">
        <f>IF(AND(TRIM(Q48)&lt;&gt;"",TRIM(F48)&lt;&gt;""),(F48*50)/Q48,"")</f>
        <v/>
      </c>
      <c r="S48" s="31" t="str">
        <f ca="1">IF(AND(F48 &lt;&gt;"",F48&gt;0), IFERROR(VLOOKUP(F48,INDIRECT(AF48),3,TRUE),0), "")</f>
        <v/>
      </c>
      <c r="T48" s="31"/>
      <c r="U48" s="31"/>
      <c r="V48" s="31"/>
      <c r="W48" s="31"/>
      <c r="X48" s="31"/>
      <c r="Y48" s="31"/>
      <c r="Z48" s="31" t="str">
        <f>IF(AND(B48 = 1, F48 &lt;&gt;""), Z84,"")</f>
        <v/>
      </c>
      <c r="AA48" s="31"/>
      <c r="AB48" s="31"/>
      <c r="AC48" s="31"/>
      <c r="AD48" s="31">
        <v>1</v>
      </c>
      <c r="AE48" s="27">
        <f t="shared" si="7"/>
        <v>0</v>
      </c>
      <c r="AF48" s="25" t="s">
        <v>142</v>
      </c>
      <c r="AH48" s="63"/>
      <c r="AI48" s="63"/>
      <c r="AJ48" s="64"/>
      <c r="AK48" s="63"/>
      <c r="AL48" s="65"/>
      <c r="AM48" s="66"/>
    </row>
    <row r="49" spans="2:39" ht="27" x14ac:dyDescent="0.2">
      <c r="B49" s="24"/>
      <c r="C49" s="25" t="s">
        <v>143</v>
      </c>
      <c r="D49" s="25" t="s">
        <v>144</v>
      </c>
      <c r="E49" s="25" t="s">
        <v>16</v>
      </c>
      <c r="F49" s="26"/>
      <c r="G49" s="27">
        <v>850</v>
      </c>
      <c r="H49" s="27" t="str">
        <f t="shared" si="0"/>
        <v/>
      </c>
      <c r="I49" s="27">
        <v>850</v>
      </c>
      <c r="J49" s="27" t="str">
        <f t="shared" si="1"/>
        <v/>
      </c>
      <c r="K49" s="28">
        <f t="shared" si="2"/>
        <v>0</v>
      </c>
      <c r="L49" s="27" t="str">
        <f t="shared" si="3"/>
        <v/>
      </c>
      <c r="M49" s="27" t="str">
        <f t="shared" si="4"/>
        <v/>
      </c>
      <c r="N49" s="27">
        <v>0</v>
      </c>
      <c r="O49" s="27" t="str">
        <f t="shared" si="5"/>
        <v/>
      </c>
      <c r="P49" s="29">
        <v>2</v>
      </c>
      <c r="Q49" s="30">
        <f t="shared" si="6"/>
        <v>87.12</v>
      </c>
      <c r="R49" s="30" t="str">
        <f>IF(AND(TRIM(Q49)&lt;&gt;"",TRIM(F49)&lt;&gt;""),(F49*319.999849189052)/Q49,"")</f>
        <v/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27">
        <f t="shared" si="7"/>
        <v>0</v>
      </c>
      <c r="AF49" s="25"/>
      <c r="AH49" s="32" t="s">
        <v>87</v>
      </c>
      <c r="AI49" s="33" t="s">
        <v>50</v>
      </c>
      <c r="AJ49" s="34" t="s">
        <v>51</v>
      </c>
      <c r="AK49" s="33" t="s">
        <v>88</v>
      </c>
      <c r="AL49" s="35" t="s">
        <v>60</v>
      </c>
      <c r="AM49" s="36" t="s">
        <v>89</v>
      </c>
    </row>
    <row r="50" spans="2:39" x14ac:dyDescent="0.2">
      <c r="B50" s="24"/>
      <c r="C50" s="25" t="s">
        <v>143</v>
      </c>
      <c r="D50" s="25" t="s">
        <v>145</v>
      </c>
      <c r="E50" s="25" t="s">
        <v>16</v>
      </c>
      <c r="F50" s="26"/>
      <c r="G50" s="27">
        <v>850</v>
      </c>
      <c r="H50" s="27" t="str">
        <f t="shared" si="0"/>
        <v/>
      </c>
      <c r="I50" s="27">
        <v>775</v>
      </c>
      <c r="J50" s="27" t="str">
        <f t="shared" si="1"/>
        <v/>
      </c>
      <c r="K50" s="28">
        <f t="shared" si="2"/>
        <v>0</v>
      </c>
      <c r="L50" s="27" t="str">
        <f t="shared" si="3"/>
        <v/>
      </c>
      <c r="M50" s="27" t="str">
        <f t="shared" si="4"/>
        <v/>
      </c>
      <c r="N50" s="27">
        <v>0</v>
      </c>
      <c r="O50" s="27" t="str">
        <f t="shared" si="5"/>
        <v/>
      </c>
      <c r="P50" s="29">
        <v>2</v>
      </c>
      <c r="Q50" s="30">
        <f t="shared" si="6"/>
        <v>87.12</v>
      </c>
      <c r="R50" s="30" t="str">
        <f>IF(AND(TRIM(Q50)&lt;&gt;"",TRIM(F50)&lt;&gt;""),(F50*319.999849189052)/Q50,"")</f>
        <v/>
      </c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27">
        <f t="shared" si="7"/>
        <v>0</v>
      </c>
      <c r="AF50" s="25"/>
      <c r="AH50" s="37" t="s">
        <v>146</v>
      </c>
      <c r="AI50" s="38" t="s">
        <v>134</v>
      </c>
      <c r="AJ50" s="39">
        <v>2</v>
      </c>
      <c r="AK50" s="24" t="s">
        <v>147</v>
      </c>
      <c r="AL50" s="40">
        <v>0.13800000000000001</v>
      </c>
      <c r="AM50" s="30">
        <v>42.586583781031898</v>
      </c>
    </row>
    <row r="51" spans="2:39" x14ac:dyDescent="0.2">
      <c r="B51" s="24">
        <v>1</v>
      </c>
      <c r="C51" s="25" t="s">
        <v>148</v>
      </c>
      <c r="D51" s="25" t="s">
        <v>149</v>
      </c>
      <c r="E51" s="25" t="s">
        <v>98</v>
      </c>
      <c r="F51" s="26"/>
      <c r="G51" s="27">
        <v>400</v>
      </c>
      <c r="H51" s="27" t="str">
        <f t="shared" si="0"/>
        <v/>
      </c>
      <c r="I51" s="27">
        <v>400</v>
      </c>
      <c r="J51" s="27" t="str">
        <f t="shared" si="1"/>
        <v/>
      </c>
      <c r="K51" s="28">
        <f t="shared" si="2"/>
        <v>0</v>
      </c>
      <c r="L51" s="27" t="str">
        <f t="shared" si="3"/>
        <v/>
      </c>
      <c r="M51" s="27" t="str">
        <f t="shared" si="4"/>
        <v/>
      </c>
      <c r="N51" s="27">
        <v>400</v>
      </c>
      <c r="O51" s="27" t="str">
        <f t="shared" si="5"/>
        <v/>
      </c>
      <c r="P51" s="29">
        <v>0.73499999999999999</v>
      </c>
      <c r="Q51" s="30">
        <f t="shared" si="6"/>
        <v>32.016600000000004</v>
      </c>
      <c r="R51" s="30" t="str">
        <f>IF(AND(TRIM(Q51)&lt;&gt;"",TRIM(F51)&lt;&gt;""),(F51*127.999939675621)/Q51,"")</f>
        <v/>
      </c>
      <c r="S51" s="31"/>
      <c r="T51" s="31"/>
      <c r="U51" s="31"/>
      <c r="V51" s="31"/>
      <c r="W51" s="31"/>
      <c r="X51" s="31"/>
      <c r="Y51" s="31"/>
      <c r="Z51" s="31" t="str">
        <f>IF(AND(B51 = 1, F51 &lt;&gt;""), Z84,"")</f>
        <v/>
      </c>
      <c r="AA51" s="31" t="str">
        <f>IF(F51 = "", "", IF(AND(AND(F51 &gt;= 4, F51 &lt;= 999999), AND(SUM(F28:F28) &gt;= 1, SUM(F28:F28) &lt; 999999)), 0.05,""))</f>
        <v/>
      </c>
      <c r="AB51" s="31"/>
      <c r="AC51" s="31"/>
      <c r="AD51" s="31">
        <v>1</v>
      </c>
      <c r="AE51" s="27">
        <f t="shared" si="7"/>
        <v>0</v>
      </c>
      <c r="AF51" s="25"/>
      <c r="AH51" s="37" t="s">
        <v>150</v>
      </c>
      <c r="AI51" s="38" t="s">
        <v>151</v>
      </c>
      <c r="AJ51" s="39">
        <v>6</v>
      </c>
      <c r="AK51" s="24" t="s">
        <v>152</v>
      </c>
      <c r="AL51" s="40">
        <v>2.3E-2</v>
      </c>
      <c r="AM51" s="30">
        <v>35.932446999640703</v>
      </c>
    </row>
    <row r="52" spans="2:39" ht="27" x14ac:dyDescent="0.2">
      <c r="B52" s="24"/>
      <c r="C52" s="25" t="s">
        <v>153</v>
      </c>
      <c r="D52" s="25" t="s">
        <v>154</v>
      </c>
      <c r="E52" s="25" t="s">
        <v>32</v>
      </c>
      <c r="F52" s="26"/>
      <c r="G52" s="27">
        <v>67.5</v>
      </c>
      <c r="H52" s="27" t="str">
        <f t="shared" si="0"/>
        <v/>
      </c>
      <c r="I52" s="27">
        <v>67.5</v>
      </c>
      <c r="J52" s="27" t="str">
        <f t="shared" si="1"/>
        <v/>
      </c>
      <c r="K52" s="28">
        <f t="shared" si="2"/>
        <v>0</v>
      </c>
      <c r="L52" s="27" t="str">
        <f t="shared" si="3"/>
        <v/>
      </c>
      <c r="M52" s="27" t="str">
        <f t="shared" si="4"/>
        <v/>
      </c>
      <c r="N52" s="27">
        <v>0</v>
      </c>
      <c r="O52" s="27" t="str">
        <f t="shared" si="5"/>
        <v/>
      </c>
      <c r="P52" s="29">
        <v>2</v>
      </c>
      <c r="Q52" s="30">
        <f t="shared" si="6"/>
        <v>87.12</v>
      </c>
      <c r="R52" s="30" t="str">
        <f>IF(AND(TRIM(Q52)&lt;&gt;"",TRIM(F52)&lt;&gt;""),(F52*50)/Q52,"")</f>
        <v/>
      </c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27">
        <f t="shared" si="7"/>
        <v>0</v>
      </c>
      <c r="AF52" s="25"/>
      <c r="AH52" s="32" t="s">
        <v>102</v>
      </c>
      <c r="AI52" s="33" t="s">
        <v>50</v>
      </c>
      <c r="AJ52" s="34" t="s">
        <v>51</v>
      </c>
      <c r="AK52" s="33" t="s">
        <v>88</v>
      </c>
      <c r="AL52" s="35" t="s">
        <v>60</v>
      </c>
      <c r="AM52" s="36" t="s">
        <v>89</v>
      </c>
    </row>
    <row r="53" spans="2:39" x14ac:dyDescent="0.2">
      <c r="B53" s="24">
        <v>1</v>
      </c>
      <c r="C53" s="25" t="s">
        <v>155</v>
      </c>
      <c r="D53" s="25" t="s">
        <v>156</v>
      </c>
      <c r="E53" s="25" t="s">
        <v>151</v>
      </c>
      <c r="F53" s="26"/>
      <c r="G53" s="27">
        <v>372.6</v>
      </c>
      <c r="H53" s="27" t="str">
        <f t="shared" si="0"/>
        <v/>
      </c>
      <c r="I53" s="27">
        <v>372.6</v>
      </c>
      <c r="J53" s="27" t="str">
        <f t="shared" si="1"/>
        <v/>
      </c>
      <c r="K53" s="28">
        <f t="shared" si="2"/>
        <v>0</v>
      </c>
      <c r="L53" s="27" t="str">
        <f t="shared" si="3"/>
        <v/>
      </c>
      <c r="M53" s="27" t="str">
        <f t="shared" si="4"/>
        <v/>
      </c>
      <c r="N53" s="27">
        <v>372.6</v>
      </c>
      <c r="O53" s="27" t="str">
        <f t="shared" si="5"/>
        <v/>
      </c>
      <c r="P53" s="29">
        <v>2.3E-2</v>
      </c>
      <c r="Q53" s="30">
        <f t="shared" si="6"/>
        <v>1.0018800000000001</v>
      </c>
      <c r="R53" s="30" t="str">
        <f>IF(AND(TRIM(Q53)&lt;&gt;"",TRIM(F53)&lt;&gt;""),(F53*6)/Q53,"")</f>
        <v/>
      </c>
      <c r="S53" s="31"/>
      <c r="T53" s="31"/>
      <c r="U53" s="31"/>
      <c r="V53" s="31"/>
      <c r="W53" s="31"/>
      <c r="X53" s="31"/>
      <c r="Y53" s="31"/>
      <c r="Z53" s="31" t="str">
        <f>IF(AND(B53 = 1, F53 &lt;&gt;""), Z84,"")</f>
        <v/>
      </c>
      <c r="AA53" s="31" t="str">
        <f>IF(F53 = "", "", IF(AND(AND(F53 &gt;= 6, F53 &lt;= 999999), AND(SUM(F43:F46) &gt;= 2, SUM(F43:F46) &lt; 999999)), 0.120772946859,""))</f>
        <v/>
      </c>
      <c r="AB53" s="31"/>
      <c r="AC53" s="31"/>
      <c r="AD53" s="31">
        <v>1</v>
      </c>
      <c r="AE53" s="27">
        <f t="shared" si="7"/>
        <v>0</v>
      </c>
      <c r="AF53" s="25"/>
      <c r="AH53" s="67" t="s">
        <v>105</v>
      </c>
      <c r="AI53" s="67"/>
      <c r="AJ53" s="68"/>
      <c r="AK53" s="67"/>
      <c r="AL53" s="69"/>
      <c r="AM53" s="70"/>
    </row>
    <row r="54" spans="2:39" x14ac:dyDescent="0.2">
      <c r="B54" s="90" t="s">
        <v>157</v>
      </c>
      <c r="C54" s="90"/>
      <c r="D54" s="90"/>
      <c r="E54" s="90"/>
      <c r="F54" s="91"/>
      <c r="G54" s="92"/>
      <c r="H54" s="92"/>
      <c r="I54" s="92"/>
      <c r="J54" s="92"/>
      <c r="K54" s="93"/>
      <c r="L54" s="92"/>
      <c r="M54" s="92"/>
      <c r="N54" s="92"/>
      <c r="O54" s="92"/>
      <c r="P54" s="94"/>
      <c r="Q54" s="95"/>
      <c r="R54" s="95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2"/>
      <c r="AF54" s="21"/>
    </row>
    <row r="55" spans="2:39" x14ac:dyDescent="0.2">
      <c r="B55" s="87" t="s">
        <v>49</v>
      </c>
      <c r="C55" s="97" t="s">
        <v>6</v>
      </c>
      <c r="D55" s="97" t="s">
        <v>7</v>
      </c>
      <c r="E55" s="97" t="s">
        <v>50</v>
      </c>
      <c r="F55" s="98" t="s">
        <v>51</v>
      </c>
      <c r="G55" s="84" t="s">
        <v>52</v>
      </c>
      <c r="H55" s="84" t="s">
        <v>53</v>
      </c>
      <c r="I55" s="101" t="s">
        <v>54</v>
      </c>
      <c r="J55" s="101" t="s">
        <v>55</v>
      </c>
      <c r="K55" s="104" t="s">
        <v>11</v>
      </c>
      <c r="L55" s="84" t="s">
        <v>56</v>
      </c>
      <c r="M55" s="101" t="s">
        <v>57</v>
      </c>
      <c r="N55" s="84" t="s">
        <v>58</v>
      </c>
      <c r="O55" s="84" t="s">
        <v>59</v>
      </c>
      <c r="P55" s="107" t="s">
        <v>60</v>
      </c>
      <c r="Q55" s="110" t="s">
        <v>61</v>
      </c>
      <c r="R55" s="110" t="s">
        <v>62</v>
      </c>
      <c r="S55" s="81" t="s">
        <v>63</v>
      </c>
      <c r="T55" s="81" t="s">
        <v>64</v>
      </c>
      <c r="U55" s="81" t="s">
        <v>65</v>
      </c>
      <c r="V55" s="81" t="s">
        <v>66</v>
      </c>
      <c r="W55" s="81" t="s">
        <v>67</v>
      </c>
      <c r="X55" s="81" t="s">
        <v>68</v>
      </c>
      <c r="Y55" s="81" t="s">
        <v>69</v>
      </c>
      <c r="Z55" s="81" t="s">
        <v>2</v>
      </c>
      <c r="AA55" s="81" t="s">
        <v>70</v>
      </c>
      <c r="AB55" s="81" t="s">
        <v>71</v>
      </c>
      <c r="AC55" s="81" t="s">
        <v>72</v>
      </c>
      <c r="AD55" s="81" t="s">
        <v>73</v>
      </c>
      <c r="AE55" s="84" t="s">
        <v>49</v>
      </c>
      <c r="AF55" s="87" t="s">
        <v>74</v>
      </c>
    </row>
    <row r="56" spans="2:39" x14ac:dyDescent="0.2">
      <c r="B56" s="88"/>
      <c r="C56" s="88"/>
      <c r="D56" s="88"/>
      <c r="E56" s="88"/>
      <c r="F56" s="99"/>
      <c r="G56" s="85"/>
      <c r="H56" s="85"/>
      <c r="I56" s="102"/>
      <c r="J56" s="85"/>
      <c r="K56" s="105"/>
      <c r="L56" s="85"/>
      <c r="M56" s="85"/>
      <c r="N56" s="85"/>
      <c r="O56" s="85"/>
      <c r="P56" s="108"/>
      <c r="Q56" s="111"/>
      <c r="R56" s="111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5"/>
      <c r="AF56" s="88"/>
      <c r="AH56" s="71" t="s">
        <v>158</v>
      </c>
      <c r="AI56" s="71"/>
      <c r="AJ56" s="72"/>
      <c r="AK56" s="71"/>
      <c r="AL56" s="73"/>
      <c r="AM56" s="74"/>
    </row>
    <row r="57" spans="2:39" x14ac:dyDescent="0.2">
      <c r="B57" s="96"/>
      <c r="C57" s="89"/>
      <c r="D57" s="89"/>
      <c r="E57" s="89"/>
      <c r="F57" s="100"/>
      <c r="G57" s="86"/>
      <c r="H57" s="86"/>
      <c r="I57" s="103"/>
      <c r="J57" s="86"/>
      <c r="K57" s="106"/>
      <c r="L57" s="86"/>
      <c r="M57" s="86"/>
      <c r="N57" s="86"/>
      <c r="O57" s="86"/>
      <c r="P57" s="109"/>
      <c r="Q57" s="112"/>
      <c r="R57" s="112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6"/>
      <c r="AF57" s="89"/>
      <c r="AH57" s="71"/>
      <c r="AI57" s="71"/>
      <c r="AJ57" s="72"/>
      <c r="AK57" s="71"/>
      <c r="AL57" s="73"/>
      <c r="AM57" s="74"/>
    </row>
    <row r="58" spans="2:39" x14ac:dyDescent="0.2">
      <c r="B58" s="24"/>
      <c r="C58" s="25" t="s">
        <v>159</v>
      </c>
      <c r="D58" s="25" t="s">
        <v>160</v>
      </c>
      <c r="E58" s="25" t="s">
        <v>16</v>
      </c>
      <c r="F58" s="26"/>
      <c r="G58" s="52">
        <v>0</v>
      </c>
      <c r="H58" s="52" t="str">
        <f t="shared" ref="H58:H83" si="8">IF(F58*I58= 0,"",F58*I58)</f>
        <v/>
      </c>
      <c r="I58" s="41"/>
      <c r="J58" s="27" t="str">
        <f t="shared" ref="J58:J83" si="9">IF(F58*I58= 0,"",F58*I58)</f>
        <v/>
      </c>
      <c r="K58" s="28">
        <f t="shared" ref="K58:K83" si="10">IF(AND(AD58 &lt;&gt; "", SUM(S58:AC58) &lt;= AD58), SUM(S58:AC58), AD58)</f>
        <v>0</v>
      </c>
      <c r="L58" s="27" t="str">
        <f t="shared" ref="L58:L83" si="11">IF(F58 ="","",F58*K58*N58)</f>
        <v/>
      </c>
      <c r="M58" s="27" t="str">
        <f t="shared" ref="M58:M83" si="12">IF(AND(AND(F58&lt;&gt;"",F58&gt;0), AND(I58&lt;&gt;"",I58&gt;0)),((J58/F58)-(L58/F58)),"")</f>
        <v/>
      </c>
      <c r="N58" s="27">
        <v>0</v>
      </c>
      <c r="O58" s="27" t="str">
        <f t="shared" ref="O58:O83" si="13">IF(AND(AND(F58&lt;&gt;"",F58&gt;0),AND(I58&lt;&gt;"",I58&gt;0)), F58*M58,"")</f>
        <v/>
      </c>
      <c r="P58" s="29">
        <v>4</v>
      </c>
      <c r="Q58" s="30">
        <f t="shared" ref="Q58:Q83" si="14">P58*43.56</f>
        <v>174.24</v>
      </c>
      <c r="R58" s="30" t="str">
        <f>IF(AND(TRIM(Q58)&lt;&gt;"",TRIM(F58)&lt;&gt;""),(F58*319.999849189052)/Q58,"")</f>
        <v/>
      </c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27">
        <f t="shared" ref="AE58:AE83" si="15">IF(F58 = "",0,N58*F58)</f>
        <v>0</v>
      </c>
      <c r="AF58" s="25"/>
      <c r="AH58" s="75"/>
      <c r="AI58" s="75"/>
      <c r="AJ58" s="76"/>
      <c r="AK58" s="75"/>
      <c r="AL58" s="77"/>
      <c r="AM58" s="78"/>
    </row>
    <row r="59" spans="2:39" x14ac:dyDescent="0.2">
      <c r="B59" s="24"/>
      <c r="C59" s="25" t="s">
        <v>161</v>
      </c>
      <c r="D59" s="25" t="s">
        <v>162</v>
      </c>
      <c r="E59" s="25" t="s">
        <v>134</v>
      </c>
      <c r="F59" s="26"/>
      <c r="G59" s="52">
        <v>0</v>
      </c>
      <c r="H59" s="52" t="str">
        <f t="shared" si="8"/>
        <v/>
      </c>
      <c r="I59" s="41"/>
      <c r="J59" s="27" t="str">
        <f t="shared" si="9"/>
        <v/>
      </c>
      <c r="K59" s="28">
        <f t="shared" si="10"/>
        <v>0</v>
      </c>
      <c r="L59" s="27" t="str">
        <f t="shared" si="11"/>
        <v/>
      </c>
      <c r="M59" s="27" t="str">
        <f t="shared" si="12"/>
        <v/>
      </c>
      <c r="N59" s="27">
        <v>0</v>
      </c>
      <c r="O59" s="27" t="str">
        <f t="shared" si="13"/>
        <v/>
      </c>
      <c r="P59" s="29">
        <v>0.5</v>
      </c>
      <c r="Q59" s="30">
        <f t="shared" si="14"/>
        <v>21.78</v>
      </c>
      <c r="R59" s="30" t="str">
        <f>IF(AND(TRIM(Q59)&lt;&gt;"",TRIM(F59)&lt;&gt;""),(F59*127.999939675621)/Q59,"")</f>
        <v/>
      </c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27">
        <f t="shared" si="15"/>
        <v>0</v>
      </c>
      <c r="AF59" s="25"/>
      <c r="AH59" s="75"/>
      <c r="AI59" s="75"/>
      <c r="AJ59" s="76"/>
      <c r="AK59" s="75"/>
      <c r="AL59" s="77"/>
      <c r="AM59" s="78"/>
    </row>
    <row r="60" spans="2:39" x14ac:dyDescent="0.2">
      <c r="B60" s="24"/>
      <c r="C60" s="25" t="s">
        <v>163</v>
      </c>
      <c r="D60" s="25" t="s">
        <v>162</v>
      </c>
      <c r="E60" s="25" t="s">
        <v>164</v>
      </c>
      <c r="F60" s="26"/>
      <c r="G60" s="52">
        <v>0</v>
      </c>
      <c r="H60" s="52" t="str">
        <f t="shared" si="8"/>
        <v/>
      </c>
      <c r="I60" s="41"/>
      <c r="J60" s="27" t="str">
        <f t="shared" si="9"/>
        <v/>
      </c>
      <c r="K60" s="28">
        <f t="shared" si="10"/>
        <v>0</v>
      </c>
      <c r="L60" s="27" t="str">
        <f t="shared" si="11"/>
        <v/>
      </c>
      <c r="M60" s="27" t="str">
        <f t="shared" si="12"/>
        <v/>
      </c>
      <c r="N60" s="27">
        <v>0</v>
      </c>
      <c r="O60" s="27" t="str">
        <f t="shared" si="13"/>
        <v/>
      </c>
      <c r="P60" s="29">
        <v>0.5</v>
      </c>
      <c r="Q60" s="30">
        <f t="shared" si="14"/>
        <v>21.78</v>
      </c>
      <c r="R60" s="30" t="str">
        <f>IF(AND(TRIM(Q60)&lt;&gt;"",TRIM(F60)&lt;&gt;""),(F60*15.9999999999797)/Q60,"")</f>
        <v/>
      </c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27">
        <f t="shared" si="15"/>
        <v>0</v>
      </c>
      <c r="AF60" s="25"/>
      <c r="AH60" s="63"/>
      <c r="AI60" s="63"/>
      <c r="AJ60" s="64"/>
      <c r="AK60" s="63"/>
      <c r="AL60" s="65"/>
      <c r="AM60" s="66"/>
    </row>
    <row r="61" spans="2:39" ht="27" x14ac:dyDescent="0.2">
      <c r="B61" s="24"/>
      <c r="C61" s="25" t="s">
        <v>165</v>
      </c>
      <c r="D61" s="25" t="s">
        <v>166</v>
      </c>
      <c r="E61" s="25" t="s">
        <v>167</v>
      </c>
      <c r="F61" s="26"/>
      <c r="G61" s="52">
        <v>0</v>
      </c>
      <c r="H61" s="52" t="str">
        <f t="shared" si="8"/>
        <v/>
      </c>
      <c r="I61" s="41"/>
      <c r="J61" s="27" t="str">
        <f t="shared" si="9"/>
        <v/>
      </c>
      <c r="K61" s="28">
        <f t="shared" si="10"/>
        <v>0</v>
      </c>
      <c r="L61" s="27" t="str">
        <f t="shared" si="11"/>
        <v/>
      </c>
      <c r="M61" s="27" t="str">
        <f t="shared" si="12"/>
        <v/>
      </c>
      <c r="N61" s="27">
        <v>0</v>
      </c>
      <c r="O61" s="27" t="str">
        <f t="shared" si="13"/>
        <v/>
      </c>
      <c r="P61" s="29">
        <v>1.2</v>
      </c>
      <c r="Q61" s="30">
        <f t="shared" si="14"/>
        <v>52.271999999999998</v>
      </c>
      <c r="R61" s="30" t="str">
        <f>IF(AND(TRIM(Q61)&lt;&gt;"",TRIM(F61)&lt;&gt;""),(F61*31.9999999550214)/Q61,"")</f>
        <v/>
      </c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27">
        <f t="shared" si="15"/>
        <v>0</v>
      </c>
      <c r="AF61" s="25"/>
      <c r="AH61" s="32" t="s">
        <v>87</v>
      </c>
      <c r="AI61" s="33" t="s">
        <v>50</v>
      </c>
      <c r="AJ61" s="34" t="s">
        <v>51</v>
      </c>
      <c r="AK61" s="33" t="s">
        <v>88</v>
      </c>
      <c r="AL61" s="35" t="s">
        <v>60</v>
      </c>
      <c r="AM61" s="36" t="s">
        <v>89</v>
      </c>
    </row>
    <row r="62" spans="2:39" x14ac:dyDescent="0.2">
      <c r="B62" s="24"/>
      <c r="C62" s="25" t="s">
        <v>168</v>
      </c>
      <c r="D62" s="25" t="s">
        <v>169</v>
      </c>
      <c r="E62" s="25" t="s">
        <v>16</v>
      </c>
      <c r="F62" s="26"/>
      <c r="G62" s="52">
        <v>0</v>
      </c>
      <c r="H62" s="52" t="str">
        <f t="shared" si="8"/>
        <v/>
      </c>
      <c r="I62" s="41"/>
      <c r="J62" s="27" t="str">
        <f t="shared" si="9"/>
        <v/>
      </c>
      <c r="K62" s="28">
        <f t="shared" si="10"/>
        <v>0</v>
      </c>
      <c r="L62" s="27" t="str">
        <f t="shared" si="11"/>
        <v/>
      </c>
      <c r="M62" s="27" t="str">
        <f t="shared" si="12"/>
        <v/>
      </c>
      <c r="N62" s="27">
        <v>0</v>
      </c>
      <c r="O62" s="27" t="str">
        <f t="shared" si="13"/>
        <v/>
      </c>
      <c r="P62" s="29">
        <v>4</v>
      </c>
      <c r="Q62" s="30">
        <f t="shared" si="14"/>
        <v>174.24</v>
      </c>
      <c r="R62" s="30" t="str">
        <f>IF(AND(TRIM(Q62)&lt;&gt;"",TRIM(F62)&lt;&gt;""),(F62*319.999849189052)/Q62,"")</f>
        <v/>
      </c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27">
        <f t="shared" si="15"/>
        <v>0</v>
      </c>
      <c r="AF62" s="25"/>
      <c r="AH62" s="37" t="s">
        <v>170</v>
      </c>
      <c r="AI62" s="38" t="s">
        <v>16</v>
      </c>
      <c r="AJ62" s="39">
        <v>4</v>
      </c>
      <c r="AK62" s="24" t="s">
        <v>171</v>
      </c>
      <c r="AL62" s="40">
        <v>2</v>
      </c>
      <c r="AM62" s="30">
        <v>14.692371404456001</v>
      </c>
    </row>
    <row r="63" spans="2:39" x14ac:dyDescent="0.2">
      <c r="B63" s="24"/>
      <c r="C63" s="25" t="s">
        <v>172</v>
      </c>
      <c r="D63" s="25" t="s">
        <v>173</v>
      </c>
      <c r="E63" s="25" t="s">
        <v>16</v>
      </c>
      <c r="F63" s="26"/>
      <c r="G63" s="52">
        <v>0</v>
      </c>
      <c r="H63" s="52" t="str">
        <f t="shared" si="8"/>
        <v/>
      </c>
      <c r="I63" s="41"/>
      <c r="J63" s="27" t="str">
        <f t="shared" si="9"/>
        <v/>
      </c>
      <c r="K63" s="28">
        <f t="shared" si="10"/>
        <v>0</v>
      </c>
      <c r="L63" s="27" t="str">
        <f t="shared" si="11"/>
        <v/>
      </c>
      <c r="M63" s="27" t="str">
        <f t="shared" si="12"/>
        <v/>
      </c>
      <c r="N63" s="27">
        <v>0</v>
      </c>
      <c r="O63" s="27" t="str">
        <f t="shared" si="13"/>
        <v/>
      </c>
      <c r="P63" s="29">
        <v>3</v>
      </c>
      <c r="Q63" s="30">
        <f t="shared" si="14"/>
        <v>130.68</v>
      </c>
      <c r="R63" s="30" t="str">
        <f>IF(AND(TRIM(Q63)&lt;&gt;"",TRIM(F63)&lt;&gt;""),(F63*319.999849189052)/Q63,"")</f>
        <v/>
      </c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27">
        <f t="shared" si="15"/>
        <v>0</v>
      </c>
      <c r="AF63" s="25"/>
      <c r="AH63" s="37" t="s">
        <v>174</v>
      </c>
      <c r="AI63" s="38" t="s">
        <v>92</v>
      </c>
      <c r="AJ63" s="39">
        <v>3</v>
      </c>
      <c r="AK63" s="24" t="s">
        <v>175</v>
      </c>
      <c r="AL63" s="40">
        <v>4</v>
      </c>
      <c r="AM63" s="30">
        <v>12.1212121041748</v>
      </c>
    </row>
    <row r="64" spans="2:39" ht="27" x14ac:dyDescent="0.2">
      <c r="B64" s="24"/>
      <c r="C64" s="25" t="s">
        <v>176</v>
      </c>
      <c r="D64" s="25" t="s">
        <v>177</v>
      </c>
      <c r="E64" s="25" t="s">
        <v>178</v>
      </c>
      <c r="F64" s="26"/>
      <c r="G64" s="52">
        <v>0</v>
      </c>
      <c r="H64" s="52" t="str">
        <f t="shared" si="8"/>
        <v/>
      </c>
      <c r="I64" s="41"/>
      <c r="J64" s="27" t="str">
        <f t="shared" si="9"/>
        <v/>
      </c>
      <c r="K64" s="28">
        <f t="shared" si="10"/>
        <v>0</v>
      </c>
      <c r="L64" s="27" t="str">
        <f t="shared" si="11"/>
        <v/>
      </c>
      <c r="M64" s="27" t="str">
        <f t="shared" si="12"/>
        <v/>
      </c>
      <c r="N64" s="27">
        <v>0</v>
      </c>
      <c r="O64" s="27" t="str">
        <f t="shared" si="13"/>
        <v/>
      </c>
      <c r="P64" s="29">
        <v>4</v>
      </c>
      <c r="Q64" s="30">
        <f t="shared" si="14"/>
        <v>174.24</v>
      </c>
      <c r="R64" s="30" t="str">
        <f>IF(AND(TRIM(Q64)&lt;&gt;"",TRIM(F64)&lt;&gt;""),(F64*87.9999998763089)/Q64,"")</f>
        <v/>
      </c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27">
        <f t="shared" si="15"/>
        <v>0</v>
      </c>
      <c r="AF64" s="25"/>
      <c r="AH64" s="32" t="s">
        <v>102</v>
      </c>
      <c r="AI64" s="33" t="s">
        <v>50</v>
      </c>
      <c r="AJ64" s="34" t="s">
        <v>51</v>
      </c>
      <c r="AK64" s="33" t="s">
        <v>88</v>
      </c>
      <c r="AL64" s="35" t="s">
        <v>60</v>
      </c>
      <c r="AM64" s="36" t="s">
        <v>89</v>
      </c>
    </row>
    <row r="65" spans="2:39" x14ac:dyDescent="0.2">
      <c r="B65" s="24"/>
      <c r="C65" s="25" t="s">
        <v>179</v>
      </c>
      <c r="D65" s="25" t="s">
        <v>180</v>
      </c>
      <c r="E65" s="25" t="s">
        <v>181</v>
      </c>
      <c r="F65" s="26"/>
      <c r="G65" s="52">
        <v>0</v>
      </c>
      <c r="H65" s="52" t="str">
        <f t="shared" si="8"/>
        <v/>
      </c>
      <c r="I65" s="41"/>
      <c r="J65" s="27" t="str">
        <f t="shared" si="9"/>
        <v/>
      </c>
      <c r="K65" s="28">
        <f t="shared" si="10"/>
        <v>0</v>
      </c>
      <c r="L65" s="27" t="str">
        <f t="shared" si="11"/>
        <v/>
      </c>
      <c r="M65" s="27" t="str">
        <f t="shared" si="12"/>
        <v/>
      </c>
      <c r="N65" s="27">
        <v>0</v>
      </c>
      <c r="O65" s="27" t="str">
        <f t="shared" si="13"/>
        <v/>
      </c>
      <c r="P65" s="29">
        <v>0.25</v>
      </c>
      <c r="Q65" s="30">
        <f t="shared" si="14"/>
        <v>10.89</v>
      </c>
      <c r="R65" s="30" t="str">
        <f>IF(AND(TRIM(Q65)&lt;&gt;"",TRIM(F65)&lt;&gt;""),(F65*15.9999999775107)/Q65,"")</f>
        <v/>
      </c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27">
        <f t="shared" si="15"/>
        <v>0</v>
      </c>
      <c r="AF65" s="25"/>
      <c r="AH65" s="67" t="s">
        <v>105</v>
      </c>
      <c r="AI65" s="67"/>
      <c r="AJ65" s="68"/>
      <c r="AK65" s="67"/>
      <c r="AL65" s="69"/>
      <c r="AM65" s="70"/>
    </row>
    <row r="66" spans="2:39" x14ac:dyDescent="0.2">
      <c r="B66" s="24"/>
      <c r="C66" s="25" t="s">
        <v>182</v>
      </c>
      <c r="D66" s="25" t="s">
        <v>183</v>
      </c>
      <c r="E66" s="25" t="s">
        <v>184</v>
      </c>
      <c r="F66" s="26"/>
      <c r="G66" s="52">
        <v>0</v>
      </c>
      <c r="H66" s="52" t="str">
        <f t="shared" si="8"/>
        <v/>
      </c>
      <c r="I66" s="41"/>
      <c r="J66" s="27" t="str">
        <f t="shared" si="9"/>
        <v/>
      </c>
      <c r="K66" s="28">
        <f t="shared" si="10"/>
        <v>0</v>
      </c>
      <c r="L66" s="27" t="str">
        <f t="shared" si="11"/>
        <v/>
      </c>
      <c r="M66" s="27" t="str">
        <f t="shared" si="12"/>
        <v/>
      </c>
      <c r="N66" s="27">
        <v>0</v>
      </c>
      <c r="O66" s="27" t="str">
        <f t="shared" si="13"/>
        <v/>
      </c>
      <c r="P66" s="29"/>
      <c r="Q66" s="30">
        <f t="shared" si="14"/>
        <v>0</v>
      </c>
      <c r="R66" s="30" t="str">
        <f>IF(AND(TRIM(Q66)&lt;&gt;"",TRIM(F66)&lt;&gt;""),(F66*0)/Q66,"")</f>
        <v/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27">
        <f t="shared" si="15"/>
        <v>0</v>
      </c>
      <c r="AF66" s="25"/>
    </row>
    <row r="67" spans="2:39" x14ac:dyDescent="0.2">
      <c r="B67" s="24"/>
      <c r="C67" s="25" t="s">
        <v>185</v>
      </c>
      <c r="D67" s="25" t="s">
        <v>186</v>
      </c>
      <c r="E67" s="25" t="s">
        <v>16</v>
      </c>
      <c r="F67" s="26"/>
      <c r="G67" s="52">
        <v>0</v>
      </c>
      <c r="H67" s="52" t="str">
        <f t="shared" si="8"/>
        <v/>
      </c>
      <c r="I67" s="41"/>
      <c r="J67" s="27" t="str">
        <f t="shared" si="9"/>
        <v/>
      </c>
      <c r="K67" s="28">
        <f t="shared" si="10"/>
        <v>0</v>
      </c>
      <c r="L67" s="27" t="str">
        <f t="shared" si="11"/>
        <v/>
      </c>
      <c r="M67" s="27" t="str">
        <f t="shared" si="12"/>
        <v/>
      </c>
      <c r="N67" s="27">
        <v>0</v>
      </c>
      <c r="O67" s="27" t="str">
        <f t="shared" si="13"/>
        <v/>
      </c>
      <c r="P67" s="29">
        <v>5.75</v>
      </c>
      <c r="Q67" s="30">
        <f t="shared" si="14"/>
        <v>250.47000000000003</v>
      </c>
      <c r="R67" s="30" t="str">
        <f>IF(AND(TRIM(Q67)&lt;&gt;"",TRIM(F67)&lt;&gt;""),(F67*319.999849189052)/Q67,"")</f>
        <v/>
      </c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27">
        <f t="shared" si="15"/>
        <v>0</v>
      </c>
      <c r="AF67" s="25"/>
    </row>
    <row r="68" spans="2:39" x14ac:dyDescent="0.2">
      <c r="B68" s="24"/>
      <c r="C68" s="25" t="s">
        <v>187</v>
      </c>
      <c r="D68" s="25" t="s">
        <v>188</v>
      </c>
      <c r="E68" s="25" t="s">
        <v>189</v>
      </c>
      <c r="F68" s="26"/>
      <c r="G68" s="52">
        <v>0</v>
      </c>
      <c r="H68" s="52" t="str">
        <f t="shared" si="8"/>
        <v/>
      </c>
      <c r="I68" s="41"/>
      <c r="J68" s="27" t="str">
        <f t="shared" si="9"/>
        <v/>
      </c>
      <c r="K68" s="28">
        <f t="shared" si="10"/>
        <v>0</v>
      </c>
      <c r="L68" s="27" t="str">
        <f t="shared" si="11"/>
        <v/>
      </c>
      <c r="M68" s="27" t="str">
        <f t="shared" si="12"/>
        <v/>
      </c>
      <c r="N68" s="27">
        <v>0</v>
      </c>
      <c r="O68" s="27" t="str">
        <f t="shared" si="13"/>
        <v/>
      </c>
      <c r="P68" s="29">
        <v>3</v>
      </c>
      <c r="Q68" s="30">
        <f t="shared" si="14"/>
        <v>130.68</v>
      </c>
      <c r="R68" s="30" t="str">
        <f>IF(AND(TRIM(Q68)&lt;&gt;"",TRIM(F68)&lt;&gt;""),(F68*30)/Q68,"")</f>
        <v/>
      </c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27">
        <f t="shared" si="15"/>
        <v>0</v>
      </c>
      <c r="AF68" s="25"/>
      <c r="AH68" s="71" t="s">
        <v>190</v>
      </c>
      <c r="AI68" s="71"/>
      <c r="AJ68" s="72"/>
      <c r="AK68" s="71"/>
      <c r="AL68" s="73"/>
      <c r="AM68" s="74"/>
    </row>
    <row r="69" spans="2:39" x14ac:dyDescent="0.2">
      <c r="B69" s="24"/>
      <c r="C69" s="25" t="s">
        <v>191</v>
      </c>
      <c r="D69" s="25" t="s">
        <v>192</v>
      </c>
      <c r="E69" s="25" t="s">
        <v>193</v>
      </c>
      <c r="F69" s="26"/>
      <c r="G69" s="52">
        <v>0</v>
      </c>
      <c r="H69" s="52" t="str">
        <f t="shared" si="8"/>
        <v/>
      </c>
      <c r="I69" s="41"/>
      <c r="J69" s="27" t="str">
        <f t="shared" si="9"/>
        <v/>
      </c>
      <c r="K69" s="28">
        <f t="shared" si="10"/>
        <v>0</v>
      </c>
      <c r="L69" s="27" t="str">
        <f t="shared" si="11"/>
        <v/>
      </c>
      <c r="M69" s="27" t="str">
        <f t="shared" si="12"/>
        <v/>
      </c>
      <c r="N69" s="27">
        <v>0</v>
      </c>
      <c r="O69" s="27" t="str">
        <f t="shared" si="13"/>
        <v/>
      </c>
      <c r="P69" s="29">
        <v>3</v>
      </c>
      <c r="Q69" s="30">
        <f t="shared" si="14"/>
        <v>130.68</v>
      </c>
      <c r="R69" s="30" t="str">
        <f>IF(AND(TRIM(Q69)&lt;&gt;"",TRIM(F69)&lt;&gt;""),(F69*8)/Q69,"")</f>
        <v/>
      </c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27">
        <f t="shared" si="15"/>
        <v>0</v>
      </c>
      <c r="AF69" s="25"/>
      <c r="AH69" s="71"/>
      <c r="AI69" s="71"/>
      <c r="AJ69" s="72"/>
      <c r="AK69" s="71"/>
      <c r="AL69" s="73"/>
      <c r="AM69" s="74"/>
    </row>
    <row r="70" spans="2:39" x14ac:dyDescent="0.2">
      <c r="B70" s="24"/>
      <c r="C70" s="25" t="s">
        <v>194</v>
      </c>
      <c r="D70" s="25" t="s">
        <v>195</v>
      </c>
      <c r="E70" s="25" t="s">
        <v>189</v>
      </c>
      <c r="F70" s="26"/>
      <c r="G70" s="52">
        <v>0</v>
      </c>
      <c r="H70" s="52" t="str">
        <f t="shared" si="8"/>
        <v/>
      </c>
      <c r="I70" s="41"/>
      <c r="J70" s="27" t="str">
        <f t="shared" si="9"/>
        <v/>
      </c>
      <c r="K70" s="28">
        <f t="shared" si="10"/>
        <v>0</v>
      </c>
      <c r="L70" s="27" t="str">
        <f t="shared" si="11"/>
        <v/>
      </c>
      <c r="M70" s="27" t="str">
        <f t="shared" si="12"/>
        <v/>
      </c>
      <c r="N70" s="27">
        <v>0</v>
      </c>
      <c r="O70" s="27" t="str">
        <f t="shared" si="13"/>
        <v/>
      </c>
      <c r="P70" s="29">
        <v>1.4</v>
      </c>
      <c r="Q70" s="30">
        <f t="shared" si="14"/>
        <v>60.984000000000002</v>
      </c>
      <c r="R70" s="30" t="str">
        <f>IF(AND(TRIM(Q70)&lt;&gt;"",TRIM(F70)&lt;&gt;""),(F70*30)/Q70,"")</f>
        <v/>
      </c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27">
        <f t="shared" si="15"/>
        <v>0</v>
      </c>
      <c r="AF70" s="25"/>
      <c r="AH70" s="75"/>
      <c r="AI70" s="75"/>
      <c r="AJ70" s="76"/>
      <c r="AK70" s="75"/>
      <c r="AL70" s="77"/>
      <c r="AM70" s="78"/>
    </row>
    <row r="71" spans="2:39" x14ac:dyDescent="0.2">
      <c r="B71" s="24"/>
      <c r="C71" s="25" t="s">
        <v>196</v>
      </c>
      <c r="D71" s="25" t="s">
        <v>197</v>
      </c>
      <c r="E71" s="25" t="s">
        <v>134</v>
      </c>
      <c r="F71" s="26"/>
      <c r="G71" s="52">
        <v>0</v>
      </c>
      <c r="H71" s="52" t="str">
        <f t="shared" si="8"/>
        <v/>
      </c>
      <c r="I71" s="41"/>
      <c r="J71" s="27" t="str">
        <f t="shared" si="9"/>
        <v/>
      </c>
      <c r="K71" s="28">
        <f t="shared" si="10"/>
        <v>0</v>
      </c>
      <c r="L71" s="27" t="str">
        <f t="shared" si="11"/>
        <v/>
      </c>
      <c r="M71" s="27" t="str">
        <f t="shared" si="12"/>
        <v/>
      </c>
      <c r="N71" s="27">
        <v>0</v>
      </c>
      <c r="O71" s="27" t="str">
        <f t="shared" si="13"/>
        <v/>
      </c>
      <c r="P71" s="29">
        <v>0.53</v>
      </c>
      <c r="Q71" s="30">
        <f t="shared" si="14"/>
        <v>23.086800000000004</v>
      </c>
      <c r="R71" s="30" t="str">
        <f>IF(AND(TRIM(Q71)&lt;&gt;"",TRIM(F71)&lt;&gt;""),(F71*127.999939675621)/Q71,"")</f>
        <v/>
      </c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27">
        <f t="shared" si="15"/>
        <v>0</v>
      </c>
      <c r="AF71" s="25"/>
      <c r="AH71" s="75"/>
      <c r="AI71" s="75"/>
      <c r="AJ71" s="76"/>
      <c r="AK71" s="75"/>
      <c r="AL71" s="77"/>
      <c r="AM71" s="78"/>
    </row>
    <row r="72" spans="2:39" x14ac:dyDescent="0.2">
      <c r="B72" s="24"/>
      <c r="C72" s="25" t="s">
        <v>198</v>
      </c>
      <c r="D72" s="25" t="s">
        <v>199</v>
      </c>
      <c r="E72" s="25" t="s">
        <v>200</v>
      </c>
      <c r="F72" s="26"/>
      <c r="G72" s="52">
        <v>0</v>
      </c>
      <c r="H72" s="52" t="str">
        <f t="shared" si="8"/>
        <v/>
      </c>
      <c r="I72" s="41"/>
      <c r="J72" s="27" t="str">
        <f t="shared" si="9"/>
        <v/>
      </c>
      <c r="K72" s="28">
        <f t="shared" si="10"/>
        <v>0</v>
      </c>
      <c r="L72" s="27" t="str">
        <f t="shared" si="11"/>
        <v/>
      </c>
      <c r="M72" s="27" t="str">
        <f t="shared" si="12"/>
        <v/>
      </c>
      <c r="N72" s="27">
        <v>0</v>
      </c>
      <c r="O72" s="27" t="str">
        <f t="shared" si="13"/>
        <v/>
      </c>
      <c r="P72" s="29">
        <v>0.17199999999999999</v>
      </c>
      <c r="Q72" s="30">
        <f t="shared" si="14"/>
        <v>7.4923199999999994</v>
      </c>
      <c r="R72" s="30" t="str">
        <f>IF(AND(TRIM(Q72)&lt;&gt;"",TRIM(F72)&lt;&gt;""),(F72*6.4)/Q72,"")</f>
        <v/>
      </c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27">
        <f t="shared" si="15"/>
        <v>0</v>
      </c>
      <c r="AF72" s="25"/>
      <c r="AH72" s="63"/>
      <c r="AI72" s="63"/>
      <c r="AJ72" s="64"/>
      <c r="AK72" s="63"/>
      <c r="AL72" s="65"/>
      <c r="AM72" s="66"/>
    </row>
    <row r="73" spans="2:39" ht="27" x14ac:dyDescent="0.2">
      <c r="B73" s="24"/>
      <c r="C73" s="25" t="s">
        <v>201</v>
      </c>
      <c r="D73" s="25" t="s">
        <v>202</v>
      </c>
      <c r="E73" s="25" t="s">
        <v>16</v>
      </c>
      <c r="F73" s="26"/>
      <c r="G73" s="52">
        <v>0</v>
      </c>
      <c r="H73" s="52" t="str">
        <f t="shared" si="8"/>
        <v/>
      </c>
      <c r="I73" s="41"/>
      <c r="J73" s="27" t="str">
        <f t="shared" si="9"/>
        <v/>
      </c>
      <c r="K73" s="28">
        <f t="shared" si="10"/>
        <v>0</v>
      </c>
      <c r="L73" s="27" t="str">
        <f t="shared" si="11"/>
        <v/>
      </c>
      <c r="M73" s="27" t="str">
        <f t="shared" si="12"/>
        <v/>
      </c>
      <c r="N73" s="27">
        <v>0</v>
      </c>
      <c r="O73" s="27" t="str">
        <f t="shared" si="13"/>
        <v/>
      </c>
      <c r="P73" s="29">
        <v>1.5</v>
      </c>
      <c r="Q73" s="30">
        <f t="shared" si="14"/>
        <v>65.34</v>
      </c>
      <c r="R73" s="30" t="str">
        <f>IF(AND(TRIM(Q73)&lt;&gt;"",TRIM(F73)&lt;&gt;""),(F73*319.999849189052)/Q73,"")</f>
        <v/>
      </c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27">
        <f t="shared" si="15"/>
        <v>0</v>
      </c>
      <c r="AF73" s="25"/>
      <c r="AH73" s="32" t="s">
        <v>87</v>
      </c>
      <c r="AI73" s="33" t="s">
        <v>50</v>
      </c>
      <c r="AJ73" s="34" t="s">
        <v>51</v>
      </c>
      <c r="AK73" s="33" t="s">
        <v>88</v>
      </c>
      <c r="AL73" s="35" t="s">
        <v>60</v>
      </c>
      <c r="AM73" s="36" t="s">
        <v>89</v>
      </c>
    </row>
    <row r="74" spans="2:39" x14ac:dyDescent="0.2">
      <c r="B74" s="24"/>
      <c r="C74" s="25" t="s">
        <v>203</v>
      </c>
      <c r="D74" s="25" t="s">
        <v>204</v>
      </c>
      <c r="E74" s="25" t="s">
        <v>205</v>
      </c>
      <c r="F74" s="26"/>
      <c r="G74" s="52">
        <v>0</v>
      </c>
      <c r="H74" s="52" t="str">
        <f t="shared" si="8"/>
        <v/>
      </c>
      <c r="I74" s="41"/>
      <c r="J74" s="27" t="str">
        <f t="shared" si="9"/>
        <v/>
      </c>
      <c r="K74" s="28">
        <f t="shared" si="10"/>
        <v>0</v>
      </c>
      <c r="L74" s="27" t="str">
        <f t="shared" si="11"/>
        <v/>
      </c>
      <c r="M74" s="27" t="str">
        <f t="shared" si="12"/>
        <v/>
      </c>
      <c r="N74" s="27">
        <v>0</v>
      </c>
      <c r="O74" s="27" t="str">
        <f t="shared" si="13"/>
        <v/>
      </c>
      <c r="P74" s="29">
        <v>2.2000000000000002</v>
      </c>
      <c r="Q74" s="30">
        <f t="shared" si="14"/>
        <v>95.832000000000008</v>
      </c>
      <c r="R74" s="30" t="str">
        <f>IF(AND(TRIM(Q74)&lt;&gt;"",TRIM(F74)&lt;&gt;""),(F74*47.9999999325321)/Q74,"")</f>
        <v/>
      </c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27">
        <f t="shared" si="15"/>
        <v>0</v>
      </c>
      <c r="AF74" s="25"/>
      <c r="AH74" s="37" t="s">
        <v>170</v>
      </c>
      <c r="AI74" s="38" t="s">
        <v>16</v>
      </c>
      <c r="AJ74" s="39">
        <v>4</v>
      </c>
      <c r="AK74" s="24" t="s">
        <v>171</v>
      </c>
      <c r="AL74" s="40">
        <v>2</v>
      </c>
      <c r="AM74" s="30">
        <v>14.692371404456001</v>
      </c>
    </row>
    <row r="75" spans="2:39" x14ac:dyDescent="0.2">
      <c r="B75" s="24"/>
      <c r="C75" s="25" t="s">
        <v>206</v>
      </c>
      <c r="D75" s="25" t="s">
        <v>207</v>
      </c>
      <c r="E75" s="25" t="s">
        <v>16</v>
      </c>
      <c r="F75" s="26"/>
      <c r="G75" s="52">
        <v>0</v>
      </c>
      <c r="H75" s="52" t="str">
        <f t="shared" si="8"/>
        <v/>
      </c>
      <c r="I75" s="41"/>
      <c r="J75" s="27" t="str">
        <f t="shared" si="9"/>
        <v/>
      </c>
      <c r="K75" s="28">
        <f t="shared" si="10"/>
        <v>0</v>
      </c>
      <c r="L75" s="27" t="str">
        <f t="shared" si="11"/>
        <v/>
      </c>
      <c r="M75" s="27" t="str">
        <f t="shared" si="12"/>
        <v/>
      </c>
      <c r="N75" s="27">
        <v>0</v>
      </c>
      <c r="O75" s="27" t="str">
        <f t="shared" si="13"/>
        <v/>
      </c>
      <c r="P75" s="29">
        <v>5</v>
      </c>
      <c r="Q75" s="30">
        <f t="shared" si="14"/>
        <v>217.8</v>
      </c>
      <c r="R75" s="30" t="str">
        <f>IF(AND(TRIM(Q75)&lt;&gt;"",TRIM(F75)&lt;&gt;""),(F75*319.999849189052)/Q75,"")</f>
        <v/>
      </c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27">
        <f t="shared" si="15"/>
        <v>0</v>
      </c>
      <c r="AF75" s="25"/>
      <c r="AH75" s="37" t="s">
        <v>208</v>
      </c>
      <c r="AI75" s="38" t="s">
        <v>27</v>
      </c>
      <c r="AJ75" s="39">
        <v>24</v>
      </c>
      <c r="AK75" s="24" t="s">
        <v>175</v>
      </c>
      <c r="AL75" s="40">
        <v>4</v>
      </c>
      <c r="AM75" s="30">
        <v>12.1212121041748</v>
      </c>
    </row>
    <row r="76" spans="2:39" ht="27" x14ac:dyDescent="0.2">
      <c r="B76" s="24"/>
      <c r="C76" s="25" t="s">
        <v>209</v>
      </c>
      <c r="D76" s="25" t="s">
        <v>121</v>
      </c>
      <c r="E76" s="25" t="s">
        <v>210</v>
      </c>
      <c r="F76" s="26"/>
      <c r="G76" s="52">
        <v>0</v>
      </c>
      <c r="H76" s="52" t="str">
        <f t="shared" si="8"/>
        <v/>
      </c>
      <c r="I76" s="41"/>
      <c r="J76" s="27" t="str">
        <f t="shared" si="9"/>
        <v/>
      </c>
      <c r="K76" s="28">
        <f t="shared" si="10"/>
        <v>0</v>
      </c>
      <c r="L76" s="27" t="str">
        <f t="shared" si="11"/>
        <v/>
      </c>
      <c r="M76" s="27" t="str">
        <f t="shared" si="12"/>
        <v/>
      </c>
      <c r="N76" s="27">
        <v>0</v>
      </c>
      <c r="O76" s="27" t="str">
        <f t="shared" si="13"/>
        <v/>
      </c>
      <c r="P76" s="29">
        <v>0.4</v>
      </c>
      <c r="Q76" s="30">
        <f t="shared" si="14"/>
        <v>17.424000000000003</v>
      </c>
      <c r="R76" s="30" t="str">
        <f>IF(AND(TRIM(Q76)&lt;&gt;"",TRIM(F76)&lt;&gt;""),(F76*32)/Q76,"")</f>
        <v/>
      </c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27">
        <f t="shared" si="15"/>
        <v>0</v>
      </c>
      <c r="AF76" s="25"/>
      <c r="AH76" s="32" t="s">
        <v>102</v>
      </c>
      <c r="AI76" s="33" t="s">
        <v>50</v>
      </c>
      <c r="AJ76" s="34" t="s">
        <v>51</v>
      </c>
      <c r="AK76" s="33" t="s">
        <v>88</v>
      </c>
      <c r="AL76" s="35" t="s">
        <v>60</v>
      </c>
      <c r="AM76" s="36" t="s">
        <v>89</v>
      </c>
    </row>
    <row r="77" spans="2:39" x14ac:dyDescent="0.2">
      <c r="B77" s="24"/>
      <c r="C77" s="25" t="s">
        <v>211</v>
      </c>
      <c r="D77" s="25" t="s">
        <v>212</v>
      </c>
      <c r="E77" s="25" t="s">
        <v>16</v>
      </c>
      <c r="F77" s="26"/>
      <c r="G77" s="52">
        <v>0</v>
      </c>
      <c r="H77" s="52" t="str">
        <f t="shared" si="8"/>
        <v/>
      </c>
      <c r="I77" s="41"/>
      <c r="J77" s="27" t="str">
        <f t="shared" si="9"/>
        <v/>
      </c>
      <c r="K77" s="28">
        <f t="shared" si="10"/>
        <v>0</v>
      </c>
      <c r="L77" s="27" t="str">
        <f t="shared" si="11"/>
        <v/>
      </c>
      <c r="M77" s="27" t="str">
        <f t="shared" si="12"/>
        <v/>
      </c>
      <c r="N77" s="27">
        <v>0</v>
      </c>
      <c r="O77" s="27" t="str">
        <f t="shared" si="13"/>
        <v/>
      </c>
      <c r="P77" s="29">
        <v>6</v>
      </c>
      <c r="Q77" s="30">
        <f t="shared" si="14"/>
        <v>261.36</v>
      </c>
      <c r="R77" s="30" t="str">
        <f>IF(AND(TRIM(Q77)&lt;&gt;"",TRIM(F77)&lt;&gt;""),(F77*319.999849189052)/Q77,"")</f>
        <v/>
      </c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27">
        <f t="shared" si="15"/>
        <v>0</v>
      </c>
      <c r="AF77" s="25"/>
      <c r="AH77" s="67" t="s">
        <v>105</v>
      </c>
      <c r="AI77" s="67"/>
      <c r="AJ77" s="68"/>
      <c r="AK77" s="67"/>
      <c r="AL77" s="69"/>
      <c r="AM77" s="70"/>
    </row>
    <row r="78" spans="2:39" x14ac:dyDescent="0.2">
      <c r="B78" s="24"/>
      <c r="C78" s="25" t="s">
        <v>213</v>
      </c>
      <c r="D78" s="25" t="s">
        <v>214</v>
      </c>
      <c r="E78" s="25" t="s">
        <v>215</v>
      </c>
      <c r="F78" s="26"/>
      <c r="G78" s="52">
        <v>0</v>
      </c>
      <c r="H78" s="52" t="str">
        <f t="shared" si="8"/>
        <v/>
      </c>
      <c r="I78" s="41"/>
      <c r="J78" s="27" t="str">
        <f t="shared" si="9"/>
        <v/>
      </c>
      <c r="K78" s="28">
        <f t="shared" si="10"/>
        <v>0</v>
      </c>
      <c r="L78" s="27" t="str">
        <f t="shared" si="11"/>
        <v/>
      </c>
      <c r="M78" s="27" t="str">
        <f t="shared" si="12"/>
        <v/>
      </c>
      <c r="N78" s="27">
        <v>0</v>
      </c>
      <c r="O78" s="27" t="str">
        <f t="shared" si="13"/>
        <v/>
      </c>
      <c r="P78" s="29">
        <v>8</v>
      </c>
      <c r="Q78" s="30">
        <f t="shared" si="14"/>
        <v>348.48</v>
      </c>
      <c r="R78" s="30" t="str">
        <f>IF(AND(TRIM(Q78)&lt;&gt;"",TRIM(F78)&lt;&gt;""),(F78*79.9999998875535)/Q78,"")</f>
        <v/>
      </c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27">
        <f t="shared" si="15"/>
        <v>0</v>
      </c>
      <c r="AF78" s="25"/>
    </row>
    <row r="79" spans="2:39" x14ac:dyDescent="0.2">
      <c r="B79" s="24"/>
      <c r="C79" s="25" t="s">
        <v>216</v>
      </c>
      <c r="D79" s="25" t="s">
        <v>217</v>
      </c>
      <c r="E79" s="25" t="s">
        <v>218</v>
      </c>
      <c r="F79" s="26"/>
      <c r="G79" s="52">
        <v>0</v>
      </c>
      <c r="H79" s="52" t="str">
        <f t="shared" si="8"/>
        <v/>
      </c>
      <c r="I79" s="41"/>
      <c r="J79" s="27" t="str">
        <f t="shared" si="9"/>
        <v/>
      </c>
      <c r="K79" s="28">
        <f t="shared" si="10"/>
        <v>0</v>
      </c>
      <c r="L79" s="27" t="str">
        <f t="shared" si="11"/>
        <v/>
      </c>
      <c r="M79" s="27" t="str">
        <f t="shared" si="12"/>
        <v/>
      </c>
      <c r="N79" s="27">
        <v>0</v>
      </c>
      <c r="O79" s="27" t="str">
        <f t="shared" si="13"/>
        <v/>
      </c>
      <c r="P79" s="29">
        <v>16</v>
      </c>
      <c r="Q79" s="30">
        <f t="shared" si="14"/>
        <v>696.96</v>
      </c>
      <c r="R79" s="30" t="str">
        <f>IF(AND(TRIM(Q79)&lt;&gt;"",TRIM(F79)&lt;&gt;""),(F79*144)/Q79,"")</f>
        <v/>
      </c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27">
        <f t="shared" si="15"/>
        <v>0</v>
      </c>
      <c r="AF79" s="25"/>
    </row>
    <row r="80" spans="2:39" x14ac:dyDescent="0.2">
      <c r="B80" s="24"/>
      <c r="C80" s="25" t="s">
        <v>219</v>
      </c>
      <c r="D80" s="25" t="s">
        <v>220</v>
      </c>
      <c r="E80" s="25" t="s">
        <v>221</v>
      </c>
      <c r="F80" s="26"/>
      <c r="G80" s="52">
        <v>0</v>
      </c>
      <c r="H80" s="52" t="str">
        <f t="shared" si="8"/>
        <v/>
      </c>
      <c r="I80" s="41"/>
      <c r="J80" s="27" t="str">
        <f t="shared" si="9"/>
        <v/>
      </c>
      <c r="K80" s="28">
        <f t="shared" si="10"/>
        <v>0</v>
      </c>
      <c r="L80" s="27" t="str">
        <f t="shared" si="11"/>
        <v/>
      </c>
      <c r="M80" s="27" t="str">
        <f t="shared" si="12"/>
        <v/>
      </c>
      <c r="N80" s="27">
        <v>0</v>
      </c>
      <c r="O80" s="27" t="str">
        <f t="shared" si="13"/>
        <v/>
      </c>
      <c r="P80" s="29">
        <v>0.27500000000000002</v>
      </c>
      <c r="Q80" s="30">
        <f t="shared" si="14"/>
        <v>11.979000000000001</v>
      </c>
      <c r="R80" s="30" t="str">
        <f>IF(AND(TRIM(Q80)&lt;&gt;"",TRIM(F80)&lt;&gt;""),(F80*8.115365448432)/Q80,"")</f>
        <v/>
      </c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27">
        <f t="shared" si="15"/>
        <v>0</v>
      </c>
      <c r="AF80" s="25"/>
      <c r="AH80" s="71" t="s">
        <v>222</v>
      </c>
      <c r="AI80" s="71"/>
      <c r="AJ80" s="72"/>
      <c r="AK80" s="71"/>
      <c r="AL80" s="73"/>
      <c r="AM80" s="74"/>
    </row>
    <row r="81" spans="2:39" x14ac:dyDescent="0.2">
      <c r="B81" s="24"/>
      <c r="C81" s="25" t="s">
        <v>223</v>
      </c>
      <c r="D81" s="25" t="s">
        <v>220</v>
      </c>
      <c r="E81" s="25" t="s">
        <v>224</v>
      </c>
      <c r="F81" s="26"/>
      <c r="G81" s="52">
        <v>0</v>
      </c>
      <c r="H81" s="52" t="str">
        <f t="shared" si="8"/>
        <v/>
      </c>
      <c r="I81" s="41"/>
      <c r="J81" s="27" t="str">
        <f t="shared" si="9"/>
        <v/>
      </c>
      <c r="K81" s="28">
        <f t="shared" si="10"/>
        <v>0</v>
      </c>
      <c r="L81" s="27" t="str">
        <f t="shared" si="11"/>
        <v/>
      </c>
      <c r="M81" s="27" t="str">
        <f t="shared" si="12"/>
        <v/>
      </c>
      <c r="N81" s="27">
        <v>0</v>
      </c>
      <c r="O81" s="27" t="str">
        <f t="shared" si="13"/>
        <v/>
      </c>
      <c r="P81" s="29">
        <v>0.27500000000000002</v>
      </c>
      <c r="Q81" s="30">
        <f t="shared" si="14"/>
        <v>11.979000000000001</v>
      </c>
      <c r="R81" s="30" t="str">
        <f>IF(AND(TRIM(Q81)&lt;&gt;"",TRIM(F81)&lt;&gt;""),(F81*30.43262043162)/Q81,"")</f>
        <v/>
      </c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27">
        <f t="shared" si="15"/>
        <v>0</v>
      </c>
      <c r="AF81" s="25"/>
      <c r="AH81" s="71"/>
      <c r="AI81" s="71"/>
      <c r="AJ81" s="72"/>
      <c r="AK81" s="71"/>
      <c r="AL81" s="73"/>
      <c r="AM81" s="74"/>
    </row>
    <row r="82" spans="2:39" x14ac:dyDescent="0.2">
      <c r="B82" s="24"/>
      <c r="C82" s="25" t="s">
        <v>225</v>
      </c>
      <c r="D82" s="25" t="s">
        <v>226</v>
      </c>
      <c r="E82" s="25" t="s">
        <v>227</v>
      </c>
      <c r="F82" s="26"/>
      <c r="G82" s="52">
        <v>0</v>
      </c>
      <c r="H82" s="52" t="str">
        <f t="shared" si="8"/>
        <v/>
      </c>
      <c r="I82" s="41"/>
      <c r="J82" s="27" t="str">
        <f t="shared" si="9"/>
        <v/>
      </c>
      <c r="K82" s="28">
        <f t="shared" si="10"/>
        <v>0</v>
      </c>
      <c r="L82" s="27" t="str">
        <f t="shared" si="11"/>
        <v/>
      </c>
      <c r="M82" s="27" t="str">
        <f t="shared" si="12"/>
        <v/>
      </c>
      <c r="N82" s="27">
        <v>0</v>
      </c>
      <c r="O82" s="27" t="str">
        <f t="shared" si="13"/>
        <v/>
      </c>
      <c r="P82" s="29">
        <v>0.35399999999999998</v>
      </c>
      <c r="Q82" s="30">
        <f t="shared" si="14"/>
        <v>15.42024</v>
      </c>
      <c r="R82" s="30" t="str">
        <f>IF(AND(TRIM(Q82)&lt;&gt;"",TRIM(F82)&lt;&gt;""),(F82*14.815063998)/Q82,"")</f>
        <v/>
      </c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27">
        <f t="shared" si="15"/>
        <v>0</v>
      </c>
      <c r="AF82" s="25"/>
      <c r="AH82" s="75"/>
      <c r="AI82" s="75"/>
      <c r="AJ82" s="76"/>
      <c r="AK82" s="75"/>
      <c r="AL82" s="77"/>
      <c r="AM82" s="78"/>
    </row>
    <row r="83" spans="2:39" x14ac:dyDescent="0.2">
      <c r="B83" s="24"/>
      <c r="C83" s="25" t="s">
        <v>228</v>
      </c>
      <c r="D83" s="25" t="s">
        <v>229</v>
      </c>
      <c r="E83" s="25" t="s">
        <v>230</v>
      </c>
      <c r="F83" s="26"/>
      <c r="G83" s="52">
        <v>0</v>
      </c>
      <c r="H83" s="52" t="str">
        <f t="shared" si="8"/>
        <v/>
      </c>
      <c r="I83" s="41"/>
      <c r="J83" s="27" t="str">
        <f t="shared" si="9"/>
        <v/>
      </c>
      <c r="K83" s="28">
        <f t="shared" si="10"/>
        <v>0</v>
      </c>
      <c r="L83" s="27" t="str">
        <f t="shared" si="11"/>
        <v/>
      </c>
      <c r="M83" s="27" t="str">
        <f t="shared" si="12"/>
        <v/>
      </c>
      <c r="N83" s="27">
        <v>0</v>
      </c>
      <c r="O83" s="27" t="str">
        <f t="shared" si="13"/>
        <v/>
      </c>
      <c r="P83" s="29">
        <v>0.35199999999999998</v>
      </c>
      <c r="Q83" s="30">
        <f t="shared" si="14"/>
        <v>15.333119999999999</v>
      </c>
      <c r="R83" s="30" t="str">
        <f>IF(AND(TRIM(Q83)&lt;&gt;"",TRIM(F83)&lt;&gt;""),(F83*14.10958476)/Q83,"")</f>
        <v/>
      </c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27">
        <f t="shared" si="15"/>
        <v>0</v>
      </c>
      <c r="AF83" s="25"/>
      <c r="AH83" s="75"/>
      <c r="AI83" s="75"/>
      <c r="AJ83" s="76"/>
      <c r="AK83" s="75"/>
      <c r="AL83" s="77"/>
      <c r="AM83" s="78"/>
    </row>
    <row r="84" spans="2:39" x14ac:dyDescent="0.2">
      <c r="B84" s="42"/>
      <c r="C84" s="42"/>
      <c r="D84" s="42"/>
      <c r="E84" s="42"/>
      <c r="F84" s="43">
        <f>SUM(F19:F53,F56:F83)</f>
        <v>0</v>
      </c>
      <c r="G84" s="44"/>
      <c r="H84" s="44">
        <f>SUM(H19:H53,H56:H83)</f>
        <v>0</v>
      </c>
      <c r="I84" s="44"/>
      <c r="J84" s="44">
        <f>SUM(J19:J53,J56:J83)</f>
        <v>0</v>
      </c>
      <c r="K84" s="45"/>
      <c r="L84" s="44">
        <f>SUM(L19:L53,L56:L83)</f>
        <v>0</v>
      </c>
      <c r="M84" s="44"/>
      <c r="N84" s="44"/>
      <c r="O84" s="44">
        <f>SUM(O19:O53,O56:O83)</f>
        <v>0</v>
      </c>
      <c r="P84" s="46"/>
      <c r="Q84" s="47"/>
      <c r="R84" s="47">
        <v>0</v>
      </c>
      <c r="S84" s="46"/>
      <c r="T84" s="46"/>
      <c r="U84" s="46"/>
      <c r="V84" s="46"/>
      <c r="W84" s="46"/>
      <c r="X84" s="46"/>
      <c r="Y84" s="46"/>
      <c r="Z84" s="46" t="str">
        <f>IF(VLOOKUP(7, Rebates!$B$4:$D$14, 3, FALSE) = 0, "", IF(AE84="",0,IF(ISNA(VLOOKUP(AE84,Rebates!$M$4:$P$9,3,1)),"", VLOOKUP(AE84,Rebates!$M$4:$P$9,3,1))))</f>
        <v/>
      </c>
      <c r="AA84" s="46"/>
      <c r="AB84" s="46"/>
      <c r="AC84" s="46"/>
      <c r="AD84" s="46"/>
      <c r="AE84" s="44">
        <f>SUM(AE19:AE53,AE56:AE83)</f>
        <v>0</v>
      </c>
      <c r="AF84" s="42"/>
      <c r="AH84" s="63"/>
      <c r="AI84" s="63"/>
      <c r="AJ84" s="64"/>
      <c r="AK84" s="63"/>
      <c r="AL84" s="65"/>
      <c r="AM84" s="66"/>
    </row>
    <row r="85" spans="2:39" ht="27" x14ac:dyDescent="0.2">
      <c r="AH85" s="32" t="s">
        <v>87</v>
      </c>
      <c r="AI85" s="33" t="s">
        <v>50</v>
      </c>
      <c r="AJ85" s="34" t="s">
        <v>51</v>
      </c>
      <c r="AK85" s="33" t="s">
        <v>88</v>
      </c>
      <c r="AL85" s="35" t="s">
        <v>60</v>
      </c>
      <c r="AM85" s="36" t="s">
        <v>89</v>
      </c>
    </row>
    <row r="86" spans="2:39" x14ac:dyDescent="0.2">
      <c r="B86" s="79" t="s">
        <v>231</v>
      </c>
      <c r="C86" s="79"/>
      <c r="D86" s="79"/>
      <c r="E86" s="79"/>
      <c r="AH86" s="37" t="s">
        <v>232</v>
      </c>
      <c r="AI86" s="38" t="s">
        <v>16</v>
      </c>
      <c r="AJ86" s="39">
        <v>6</v>
      </c>
      <c r="AK86" s="24" t="s">
        <v>233</v>
      </c>
      <c r="AL86" s="40">
        <v>4</v>
      </c>
      <c r="AM86" s="30">
        <v>11.019278553342</v>
      </c>
    </row>
    <row r="87" spans="2:39" x14ac:dyDescent="0.2">
      <c r="B87" s="79"/>
      <c r="C87" s="79"/>
      <c r="D87" s="79"/>
      <c r="E87" s="79"/>
      <c r="AH87" s="37" t="s">
        <v>234</v>
      </c>
      <c r="AI87" s="38" t="s">
        <v>16</v>
      </c>
      <c r="AJ87" s="39">
        <v>2</v>
      </c>
      <c r="AK87" s="24" t="s">
        <v>235</v>
      </c>
      <c r="AL87" s="40">
        <v>1</v>
      </c>
      <c r="AM87" s="30">
        <v>14.692371404456001</v>
      </c>
    </row>
    <row r="88" spans="2:39" ht="27" x14ac:dyDescent="0.2">
      <c r="B88" s="80" t="s">
        <v>236</v>
      </c>
      <c r="C88" s="80"/>
      <c r="D88" s="80"/>
      <c r="E88" s="80"/>
      <c r="AH88" s="32" t="s">
        <v>102</v>
      </c>
      <c r="AI88" s="33" t="s">
        <v>50</v>
      </c>
      <c r="AJ88" s="34" t="s">
        <v>51</v>
      </c>
      <c r="AK88" s="33" t="s">
        <v>88</v>
      </c>
      <c r="AL88" s="35" t="s">
        <v>60</v>
      </c>
      <c r="AM88" s="36" t="s">
        <v>89</v>
      </c>
    </row>
    <row r="89" spans="2:39" x14ac:dyDescent="0.2">
      <c r="B89" s="80"/>
      <c r="C89" s="80"/>
      <c r="D89" s="80"/>
      <c r="E89" s="80"/>
      <c r="AH89" s="67" t="s">
        <v>105</v>
      </c>
      <c r="AI89" s="67"/>
      <c r="AJ89" s="68"/>
      <c r="AK89" s="67"/>
      <c r="AL89" s="69"/>
      <c r="AM89" s="67"/>
    </row>
    <row r="90" spans="2:39" x14ac:dyDescent="0.2">
      <c r="B90" s="80"/>
      <c r="C90" s="80"/>
      <c r="D90" s="80"/>
      <c r="E90" s="80"/>
    </row>
    <row r="91" spans="2:39" x14ac:dyDescent="0.2">
      <c r="B91" s="59" t="s">
        <v>237</v>
      </c>
      <c r="C91" s="60"/>
      <c r="D91" s="60"/>
      <c r="E91" s="48">
        <f>H84</f>
        <v>0</v>
      </c>
    </row>
    <row r="92" spans="2:39" x14ac:dyDescent="0.2">
      <c r="B92" s="57" t="s">
        <v>238</v>
      </c>
      <c r="C92" s="58"/>
      <c r="D92" s="58"/>
      <c r="E92" s="49">
        <f>SUM(H84-J84)</f>
        <v>0</v>
      </c>
    </row>
    <row r="93" spans="2:39" x14ac:dyDescent="0.2">
      <c r="B93" s="59" t="s">
        <v>239</v>
      </c>
      <c r="C93" s="60"/>
      <c r="D93" s="60"/>
      <c r="E93" s="48">
        <f>J84</f>
        <v>0</v>
      </c>
    </row>
    <row r="94" spans="2:39" x14ac:dyDescent="0.2">
      <c r="B94" s="57" t="s">
        <v>240</v>
      </c>
      <c r="C94" s="58"/>
      <c r="D94" s="58"/>
      <c r="E94" s="49">
        <f>L84</f>
        <v>0</v>
      </c>
    </row>
    <row r="95" spans="2:39" x14ac:dyDescent="0.2">
      <c r="B95" s="59" t="s">
        <v>241</v>
      </c>
      <c r="C95" s="60"/>
      <c r="D95" s="60"/>
      <c r="E95" s="48">
        <f>O84</f>
        <v>0</v>
      </c>
    </row>
    <row r="96" spans="2:39" x14ac:dyDescent="0.2">
      <c r="B96" s="57" t="s">
        <v>242</v>
      </c>
      <c r="C96" s="58"/>
      <c r="D96" s="58"/>
      <c r="E96" s="50">
        <f>IF(AND(J84 &lt;&gt;"", J84 &gt; 0), SUM(L84/J84),0)</f>
        <v>0</v>
      </c>
    </row>
    <row r="97" spans="2:5" x14ac:dyDescent="0.2">
      <c r="B97" s="59" t="s">
        <v>243</v>
      </c>
      <c r="C97" s="60"/>
      <c r="D97" s="60"/>
      <c r="E97" s="51">
        <f>IF(AND(E91 &lt;&gt; "", E91 &gt; 0), ((E91 - E93) + E94)/E91,0)</f>
        <v>0</v>
      </c>
    </row>
    <row r="98" spans="2:5" x14ac:dyDescent="0.2">
      <c r="B98" s="61" t="str">
        <f>CONCATENATE("Estimated MBR points to be earned in the Product Cart: ",TEXT(IF(AND(E94 &lt;&gt;"", E94 &gt; 0),E94*100, 0),"#,##0"))</f>
        <v>Estimated MBR points to be earned in the Product Cart: 0</v>
      </c>
      <c r="C98" s="61"/>
      <c r="D98" s="61"/>
      <c r="E98" s="61"/>
    </row>
    <row r="99" spans="2:5" x14ac:dyDescent="0.2">
      <c r="B99" s="62" t="s">
        <v>244</v>
      </c>
      <c r="C99" s="62"/>
      <c r="D99" s="62"/>
      <c r="E99" s="62"/>
    </row>
    <row r="100" spans="2:5" x14ac:dyDescent="0.2">
      <c r="B100" s="62"/>
      <c r="C100" s="62"/>
      <c r="D100" s="62"/>
      <c r="E100" s="62"/>
    </row>
    <row r="101" spans="2:5" x14ac:dyDescent="0.2">
      <c r="B101" s="62"/>
      <c r="C101" s="62"/>
      <c r="D101" s="62"/>
      <c r="E101" s="62"/>
    </row>
    <row r="102" spans="2:5" x14ac:dyDescent="0.2">
      <c r="B102" s="62"/>
      <c r="C102" s="62"/>
      <c r="D102" s="62"/>
      <c r="E102" s="62"/>
    </row>
    <row r="103" spans="2:5" x14ac:dyDescent="0.2">
      <c r="B103" s="62"/>
      <c r="C103" s="62"/>
      <c r="D103" s="62"/>
      <c r="E103" s="62"/>
    </row>
  </sheetData>
  <sheetProtection algorithmName="SHA-512" hashValue="sQnyrKKX5ZcERhd9MhIU2lLrwWgMnI+QQgcItuMGyW3lSvAXumwPNESJN2dl8WbpRimN8iuC5l8e85hvXecymw==" saltValue="oExF0/OY4ZhPey2geXDOwQ==" spinCount="100000" sheet="1" objects="1" scenarios="1"/>
  <mergeCells count="110">
    <mergeCell ref="B1:AE1"/>
    <mergeCell ref="B3:E4"/>
    <mergeCell ref="B5:E6"/>
    <mergeCell ref="B7:E7"/>
    <mergeCell ref="B8:E8"/>
    <mergeCell ref="B9:E9"/>
    <mergeCell ref="B10:E10"/>
    <mergeCell ref="B11:E11"/>
    <mergeCell ref="B14:E15"/>
    <mergeCell ref="AH14:AM15"/>
    <mergeCell ref="AH16:AM18"/>
    <mergeCell ref="B17:R17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X18:X20"/>
    <mergeCell ref="Y18:Y20"/>
    <mergeCell ref="Z18:Z20"/>
    <mergeCell ref="AA18:AA20"/>
    <mergeCell ref="AB18:AB20"/>
    <mergeCell ref="AC18:AC20"/>
    <mergeCell ref="AD18:AD20"/>
    <mergeCell ref="AE18:AE20"/>
    <mergeCell ref="AF18:AF20"/>
    <mergeCell ref="AH20:AM21"/>
    <mergeCell ref="AH22:AM23"/>
    <mergeCell ref="AH24:AM24"/>
    <mergeCell ref="AH29:AM29"/>
    <mergeCell ref="AH32:AM33"/>
    <mergeCell ref="AH34:AM35"/>
    <mergeCell ref="AH36:AM36"/>
    <mergeCell ref="AH41:AM41"/>
    <mergeCell ref="AH44:AM45"/>
    <mergeCell ref="AH46:AM47"/>
    <mergeCell ref="AH48:AM48"/>
    <mergeCell ref="AH53:AM53"/>
    <mergeCell ref="B54:R54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K55:K57"/>
    <mergeCell ref="L55:L57"/>
    <mergeCell ref="M55:M57"/>
    <mergeCell ref="N55:N57"/>
    <mergeCell ref="O55:O57"/>
    <mergeCell ref="P55:P57"/>
    <mergeCell ref="Q55:Q57"/>
    <mergeCell ref="R55:R57"/>
    <mergeCell ref="S55:S57"/>
    <mergeCell ref="T55:T57"/>
    <mergeCell ref="U55:U57"/>
    <mergeCell ref="V55:V57"/>
    <mergeCell ref="W55:W57"/>
    <mergeCell ref="X55:X57"/>
    <mergeCell ref="Y55:Y57"/>
    <mergeCell ref="Z55:Z57"/>
    <mergeCell ref="AA55:AA57"/>
    <mergeCell ref="AB55:AB57"/>
    <mergeCell ref="AC55:AC57"/>
    <mergeCell ref="AD55:AD57"/>
    <mergeCell ref="AE55:AE57"/>
    <mergeCell ref="AF55:AF57"/>
    <mergeCell ref="AH56:AM57"/>
    <mergeCell ref="AH58:AM59"/>
    <mergeCell ref="AH60:AM60"/>
    <mergeCell ref="AH65:AM65"/>
    <mergeCell ref="AH68:AM69"/>
    <mergeCell ref="AH70:AM71"/>
    <mergeCell ref="B92:D92"/>
    <mergeCell ref="B93:D93"/>
    <mergeCell ref="B94:D94"/>
    <mergeCell ref="B95:D95"/>
    <mergeCell ref="B96:D96"/>
    <mergeCell ref="B97:D97"/>
    <mergeCell ref="B98:E98"/>
    <mergeCell ref="B99:E103"/>
    <mergeCell ref="AH72:AM72"/>
    <mergeCell ref="AH77:AM77"/>
    <mergeCell ref="AH80:AM81"/>
    <mergeCell ref="AH82:AM83"/>
    <mergeCell ref="AH84:AM84"/>
    <mergeCell ref="B86:E87"/>
    <mergeCell ref="B88:E90"/>
    <mergeCell ref="AH89:AM89"/>
    <mergeCell ref="B91:D91"/>
  </mergeCells>
  <conditionalFormatting sqref="B19:B53">
    <cfRule type="iconSet" priority="1">
      <iconSet iconSet="3Flags" showValue="0">
        <cfvo type="num" val="-1"/>
        <cfvo type="num" val="0"/>
        <cfvo type="num" val="1"/>
      </iconSet>
    </cfRule>
  </conditionalFormatting>
  <conditionalFormatting sqref="B56:B83">
    <cfRule type="iconSet" priority="2">
      <iconSet iconSet="3Flags" showValue="0">
        <cfvo type="num" val="-1"/>
        <cfvo type="num" val="0"/>
        <cfvo type="num" val="1"/>
      </iconSet>
    </cfRule>
  </conditionalFormatting>
  <dataValidations count="55">
    <dataValidation type="whole" allowBlank="1" showInputMessage="1" showErrorMessage="1" errorTitle="# Units Error" error="Must be greater than 1." sqref="F21 F25 F28 F51" xr:uid="{00000000-0002-0000-0100-000000000000}">
      <formula1>1</formula1>
      <formula2>999999</formula2>
    </dataValidation>
    <dataValidation type="decimal" errorStyle="warning" allowBlank="1" showInputMessage="1" showErrorMessage="1" errorTitle="Use Rate Error" error="Must be between 0.1600 and 0.3200" sqref="P21" xr:uid="{00000000-0002-0000-0100-000001000000}">
      <formula1>0.16</formula1>
      <formula2>0.32</formula2>
    </dataValidation>
    <dataValidation type="whole" allowBlank="1" showInputMessage="1" showErrorMessage="1" errorTitle="# Units Error" error="Must be greater than 1." sqref="F22:F24 F29:F30 F35:F37 F47:F48 F52:F53 F58:F83" xr:uid="{00000000-0002-0000-0100-000002000000}">
      <formula1>1</formula1>
      <formula2>9999999</formula2>
    </dataValidation>
    <dataValidation type="decimal" errorStyle="warning" allowBlank="1" showInputMessage="1" showErrorMessage="1" errorTitle="Use Rate Error" error="Must be between 1.3000 and 4.0000" sqref="P22" xr:uid="{00000000-0002-0000-0100-000003000000}">
      <formula1>1.3</formula1>
      <formula2>4</formula2>
    </dataValidation>
    <dataValidation type="decimal" errorStyle="warning" allowBlank="1" showInputMessage="1" showErrorMessage="1" errorTitle="Use Rate Error" error="Must be between 0.5000 and 1.9000" sqref="P23" xr:uid="{00000000-0002-0000-0100-000004000000}">
      <formula1>0.5</formula1>
      <formula2>1.9</formula2>
    </dataValidation>
    <dataValidation type="decimal" errorStyle="warning" allowBlank="1" showInputMessage="1" showErrorMessage="1" errorTitle="Use Rate Error" error="Must be between 0.0570 and 0.1130" sqref="P24" xr:uid="{00000000-0002-0000-0100-000005000000}">
      <formula1>0.057</formula1>
      <formula2>0.113</formula2>
    </dataValidation>
    <dataValidation type="decimal" errorStyle="warning" allowBlank="1" showInputMessage="1" showErrorMessage="1" errorTitle="Use Rate Error" error="Must be between 0.1150 and 0.2300" sqref="P25" xr:uid="{00000000-0002-0000-0100-000006000000}">
      <formula1>0.115</formula1>
      <formula2>0.23</formula2>
    </dataValidation>
    <dataValidation type="whole" allowBlank="1" showInputMessage="1" showErrorMessage="1" errorTitle="# Units Error" error="Must be between 1 and 2" sqref="F26" xr:uid="{00000000-0002-0000-0100-000007000000}">
      <formula1>1</formula1>
      <formula2>2</formula2>
    </dataValidation>
    <dataValidation type="decimal" errorStyle="warning" allowBlank="1" showInputMessage="1" showErrorMessage="1" errorTitle="Use Rate Error" error="Must be between 4.0000 and 8.0000" sqref="P26:P27 P64" xr:uid="{00000000-0002-0000-0100-000008000000}">
      <formula1>4</formula1>
      <formula2>8</formula2>
    </dataValidation>
    <dataValidation type="whole" allowBlank="1" showInputMessage="1" showErrorMessage="1" errorTitle="# Units Error" error="Must be greater than 3." sqref="F27" xr:uid="{00000000-0002-0000-0100-000009000000}">
      <formula1>3</formula1>
      <formula2>9999999</formula2>
    </dataValidation>
    <dataValidation type="decimal" errorStyle="warning" allowBlank="1" showInputMessage="1" showErrorMessage="1" errorTitle="Use Rate Error" error="Must be between 0.1950 and 0.1950" sqref="P28" xr:uid="{00000000-0002-0000-0100-00000A000000}">
      <formula1>0.195</formula1>
      <formula2>0.195</formula2>
    </dataValidation>
    <dataValidation type="decimal" errorStyle="warning" allowBlank="1" showInputMessage="1" showErrorMessage="1" errorTitle="Use Rate Error" error="Must be between 1.5000 and 6.0000" sqref="P29" xr:uid="{00000000-0002-0000-0100-00000B000000}">
      <formula1>1.5</formula1>
      <formula2>6</formula2>
    </dataValidation>
    <dataValidation type="decimal" errorStyle="warning" allowBlank="1" showInputMessage="1" showErrorMessage="1" errorTitle="Use Rate Error" error="Must be between 4.4000 and 15.0000" sqref="P30" xr:uid="{00000000-0002-0000-0100-00000C000000}">
      <formula1>4.4</formula1>
      <formula2>15</formula2>
    </dataValidation>
    <dataValidation type="whole" allowBlank="1" showInputMessage="1" showErrorMessage="1" errorTitle="# Units Error" error="Must be between 1 and 5" sqref="F31 F33 F49" xr:uid="{00000000-0002-0000-0100-00000D000000}">
      <formula1>1</formula1>
      <formula2>5</formula2>
    </dataValidation>
    <dataValidation type="decimal" errorStyle="warning" allowBlank="1" showInputMessage="1" showErrorMessage="1" errorTitle="Use Rate Error" error="Must be between 0.1950 and 0.3900" sqref="P31:P32" xr:uid="{00000000-0002-0000-0100-00000E000000}">
      <formula1>0.195</formula1>
      <formula2>0.39</formula2>
    </dataValidation>
    <dataValidation type="whole" allowBlank="1" showInputMessage="1" showErrorMessage="1" errorTitle="# Units Error" error="Must be greater than 6." sqref="F32 F34 F50" xr:uid="{00000000-0002-0000-0100-00000F000000}">
      <formula1>6</formula1>
      <formula2>9999999</formula2>
    </dataValidation>
    <dataValidation type="decimal" errorStyle="warning" allowBlank="1" showInputMessage="1" showErrorMessage="1" errorTitle="Use Rate Error" error="Must be between 2.0000 and 7.0000" sqref="P33:P34" xr:uid="{00000000-0002-0000-0100-000010000000}">
      <formula1>2</formula1>
      <formula2>7</formula2>
    </dataValidation>
    <dataValidation type="decimal" errorStyle="warning" allowBlank="1" showInputMessage="1" showErrorMessage="1" errorTitle="Use Rate Error" error="Must be between 0.1470 and 0.1970" sqref="P35 P72" xr:uid="{00000000-0002-0000-0100-000011000000}">
      <formula1>0.147</formula1>
      <formula2>0.197</formula2>
    </dataValidation>
    <dataValidation type="decimal" errorStyle="warning" allowBlank="1" showInputMessage="1" showErrorMessage="1" errorTitle="Use Rate Error" error="Must be between 1.0000 and 2.0000" sqref="P36 P49:P50" xr:uid="{00000000-0002-0000-0100-000012000000}">
      <formula1>1</formula1>
      <formula2>2</formula2>
    </dataValidation>
    <dataValidation type="decimal" errorStyle="warning" allowBlank="1" showInputMessage="1" showErrorMessage="1" errorTitle="Use Rate Error" error="Must be between 0.1000 and 0.8000" sqref="P37 P76" xr:uid="{00000000-0002-0000-0100-000013000000}">
      <formula1>0.1</formula1>
      <formula2>0.8</formula2>
    </dataValidation>
    <dataValidation type="whole" allowBlank="1" showInputMessage="1" showErrorMessage="1" errorTitle="# Units Error" error="Must be between 1 and 11" sqref="F38" xr:uid="{00000000-0002-0000-0100-000014000000}">
      <formula1>1</formula1>
      <formula2>11</formula2>
    </dataValidation>
    <dataValidation type="decimal" errorStyle="warning" allowBlank="1" showInputMessage="1" showErrorMessage="1" errorTitle="Use Rate Error" error="Must be between 1.8500 and 2.8000" sqref="P38:P40" xr:uid="{00000000-0002-0000-0100-000015000000}">
      <formula1>1.85</formula1>
      <formula2>2.8</formula2>
    </dataValidation>
    <dataValidation type="whole" allowBlank="1" showInputMessage="1" showErrorMessage="1" errorTitle="# Units Error" error="Must be between 12 and 39" sqref="F39" xr:uid="{00000000-0002-0000-0100-000016000000}">
      <formula1>12</formula1>
      <formula2>39</formula2>
    </dataValidation>
    <dataValidation type="whole" allowBlank="1" showInputMessage="1" showErrorMessage="1" errorTitle="# Units Error" error="Must be greater than 40." sqref="F40" xr:uid="{00000000-0002-0000-0100-000017000000}">
      <formula1>40</formula1>
      <formula2>9999999</formula2>
    </dataValidation>
    <dataValidation type="whole" allowBlank="1" showInputMessage="1" showErrorMessage="1" errorTitle="# Units Error" error="Must be between 1 and 23" sqref="F41" xr:uid="{00000000-0002-0000-0100-000018000000}">
      <formula1>1</formula1>
      <formula2>23</formula2>
    </dataValidation>
    <dataValidation type="decimal" errorStyle="warning" allowBlank="1" showInputMessage="1" showErrorMessage="1" errorTitle="Use Rate Error" error="Must be between 2.0000 and 6.0000" sqref="P41:P42" xr:uid="{00000000-0002-0000-0100-000019000000}">
      <formula1>2</formula1>
      <formula2>6</formula2>
    </dataValidation>
    <dataValidation type="whole" allowBlank="1" showInputMessage="1" showErrorMessage="1" errorTitle="# Units Error" error="Must be greater than 24." sqref="F42" xr:uid="{00000000-0002-0000-0100-00001A000000}">
      <formula1>24</formula1>
      <formula2>9999999</formula2>
    </dataValidation>
    <dataValidation type="whole" allowBlank="1" showInputMessage="1" showErrorMessage="1" errorTitle="# Units Error" error="Must be between 1 and 3" sqref="F43" xr:uid="{00000000-0002-0000-0100-00001B000000}">
      <formula1>1</formula1>
      <formula2>3</formula2>
    </dataValidation>
    <dataValidation type="decimal" errorStyle="warning" allowBlank="1" showInputMessage="1" showErrorMessage="1" errorTitle="Use Rate Error" error="Must be between 0.0680 and 0.2300" sqref="P43:P47" xr:uid="{00000000-0002-0000-0100-00001C000000}">
      <formula1>0.068</formula1>
      <formula2>0.23</formula2>
    </dataValidation>
    <dataValidation type="whole" allowBlank="1" showInputMessage="1" showErrorMessage="1" errorTitle="# Units Error" error="Must be between 4 and 13" sqref="F44" xr:uid="{00000000-0002-0000-0100-00001D000000}">
      <formula1>4</formula1>
      <formula2>13</formula2>
    </dataValidation>
    <dataValidation type="whole" allowBlank="1" showInputMessage="1" showErrorMessage="1" errorTitle="# Units Error" error="Must be between 14 and 25" sqref="F45" xr:uid="{00000000-0002-0000-0100-00001E000000}">
      <formula1>14</formula1>
      <formula2>25</formula2>
    </dataValidation>
    <dataValidation type="whole" allowBlank="1" showInputMessage="1" showErrorMessage="1" errorTitle="# Units Error" error="Must be greater than 26." sqref="F46" xr:uid="{00000000-0002-0000-0100-00001F000000}">
      <formula1>26</formula1>
      <formula2>9999999</formula2>
    </dataValidation>
    <dataValidation type="decimal" errorStyle="warning" allowBlank="1" showInputMessage="1" showErrorMessage="1" errorTitle="Use Rate Error" error="Must be between 2.3000 and 4.6000" sqref="P48" xr:uid="{00000000-0002-0000-0100-000020000000}">
      <formula1>2.3</formula1>
      <formula2>4.6</formula2>
    </dataValidation>
    <dataValidation type="decimal" errorStyle="warning" allowBlank="1" showInputMessage="1" showErrorMessage="1" errorTitle="Use Rate Error" error="Must be between 0.3670 and 0.7350" sqref="P51" xr:uid="{00000000-0002-0000-0100-000021000000}">
      <formula1>0.367</formula1>
      <formula2>0.735</formula2>
    </dataValidation>
    <dataValidation type="decimal" errorStyle="warning" allowBlank="1" showInputMessage="1" showErrorMessage="1" errorTitle="Use Rate Error" error="Must be between 2.0000 and 2.0000" sqref="P52" xr:uid="{00000000-0002-0000-0100-000022000000}">
      <formula1>2</formula1>
      <formula2>2</formula2>
    </dataValidation>
    <dataValidation type="decimal" errorStyle="warning" allowBlank="1" showInputMessage="1" showErrorMessage="1" errorTitle="Use Rate Error" error="Must be between 0.0230 and 0.0730" sqref="P53" xr:uid="{00000000-0002-0000-0100-000023000000}">
      <formula1>0.023</formula1>
      <formula2>0.073</formula2>
    </dataValidation>
    <dataValidation type="decimal" errorStyle="warning" allowBlank="1" showInputMessage="1" showErrorMessage="1" errorTitle="Use Rate Error" error="Must be between 2.0000 and 8.0000" sqref="P58 P62" xr:uid="{00000000-0002-0000-0100-000024000000}">
      <formula1>2</formula1>
      <formula2>8</formula2>
    </dataValidation>
    <dataValidation type="decimal" errorStyle="warning" allowBlank="1" showInputMessage="1" showErrorMessage="1" errorTitle="Use Rate Error" error="Must be between 0.0800 and 0.9000" sqref="P59:P60" xr:uid="{00000000-0002-0000-0100-000025000000}">
      <formula1>0.08</formula1>
      <formula2>0.9</formula2>
    </dataValidation>
    <dataValidation type="decimal" errorStyle="warning" allowBlank="1" showInputMessage="1" showErrorMessage="1" errorTitle="Use Rate Error" error="Must be between 0.6000 and 1.5000" sqref="P61" xr:uid="{00000000-0002-0000-0100-000026000000}">
      <formula1>0.6</formula1>
      <formula2>1.5</formula2>
    </dataValidation>
    <dataValidation type="decimal" errorStyle="warning" allowBlank="1" showInputMessage="1" showErrorMessage="1" errorTitle="Use Rate Error" error="Must be between 0.7500 and 6.0000" sqref="P63" xr:uid="{00000000-0002-0000-0100-000027000000}">
      <formula1>0.75</formula1>
      <formula2>6</formula2>
    </dataValidation>
    <dataValidation type="decimal" errorStyle="warning" allowBlank="1" showInputMessage="1" showErrorMessage="1" errorTitle="Use Rate Error" error="Must be between 0.1000 and 0.2500" sqref="P65" xr:uid="{00000000-0002-0000-0100-000028000000}">
      <formula1>0.1</formula1>
      <formula2>0.25</formula2>
    </dataValidation>
    <dataValidation type="decimal" errorStyle="warning" allowBlank="1" showInputMessage="1" showErrorMessage="1" errorTitle="Use Rate Error" error="Must be between 4.6000 and 6.9000" sqref="P67" xr:uid="{00000000-0002-0000-0100-000029000000}">
      <formula1>4.6</formula1>
      <formula2>6.9</formula2>
    </dataValidation>
    <dataValidation type="decimal" errorStyle="warning" allowBlank="1" showInputMessage="1" showErrorMessage="1" errorTitle="Use Rate Error" error="Must be between 2.0000 and 3.0000" sqref="P68" xr:uid="{00000000-0002-0000-0100-00002A000000}">
      <formula1>2</formula1>
      <formula2>3</formula2>
    </dataValidation>
    <dataValidation type="decimal" errorStyle="warning" allowBlank="1" showInputMessage="1" showErrorMessage="1" errorTitle="Use Rate Error" error="Must be between 0.0320 and 0.0900" sqref="P69" xr:uid="{00000000-0002-0000-0100-00002B000000}">
      <formula1>0.032</formula1>
      <formula2>0.09</formula2>
    </dataValidation>
    <dataValidation type="decimal" errorStyle="warning" allowBlank="1" showInputMessage="1" showErrorMessage="1" errorTitle="Use Rate Error" error="Must be between 1.4000 and 1.8000" sqref="P70" xr:uid="{00000000-0002-0000-0100-00002C000000}">
      <formula1>1.4</formula1>
      <formula2>1.8</formula2>
    </dataValidation>
    <dataValidation type="decimal" errorStyle="warning" allowBlank="1" showInputMessage="1" showErrorMessage="1" errorTitle="Use Rate Error" error="Must be between 0.4600 and 0.6000" sqref="P71" xr:uid="{00000000-0002-0000-0100-00002D000000}">
      <formula1>0.46</formula1>
      <formula2>0.6</formula2>
    </dataValidation>
    <dataValidation type="decimal" errorStyle="warning" allowBlank="1" showInputMessage="1" showErrorMessage="1" errorTitle="Use Rate Error" error="Must be between 1.0000 and 4.5000" sqref="P73" xr:uid="{00000000-0002-0000-0100-00002E000000}">
      <formula1>1</formula1>
      <formula2>4.5</formula2>
    </dataValidation>
    <dataValidation type="decimal" errorStyle="warning" allowBlank="1" showInputMessage="1" showErrorMessage="1" errorTitle="Use Rate Error" error="Must be between 1.5000 and 4.5000" sqref="P74" xr:uid="{00000000-0002-0000-0100-00002F000000}">
      <formula1>1.5</formula1>
      <formula2>4.5</formula2>
    </dataValidation>
    <dataValidation type="decimal" errorStyle="warning" allowBlank="1" showInputMessage="1" showErrorMessage="1" errorTitle="Use Rate Error" error="Must be between 5.0000 and 5.0000" sqref="P75" xr:uid="{00000000-0002-0000-0100-000030000000}">
      <formula1>5</formula1>
      <formula2>5</formula2>
    </dataValidation>
    <dataValidation type="decimal" errorStyle="warning" allowBlank="1" showInputMessage="1" showErrorMessage="1" errorTitle="Use Rate Error" error="Must be between 2.0000 and 10.0000" sqref="P77" xr:uid="{00000000-0002-0000-0100-000031000000}">
      <formula1>2</formula1>
      <formula2>10</formula2>
    </dataValidation>
    <dataValidation type="decimal" errorStyle="warning" allowBlank="1" showInputMessage="1" showErrorMessage="1" errorTitle="Use Rate Error" error="Must be between 5.3300 and 10.6700" sqref="P78" xr:uid="{00000000-0002-0000-0100-000032000000}">
      <formula1>5.33</formula1>
      <formula2>10.67</formula2>
    </dataValidation>
    <dataValidation type="decimal" errorStyle="warning" allowBlank="1" showInputMessage="1" showErrorMessage="1" errorTitle="Use Rate Error" error="Must be between 16.0000 and 16.0000" sqref="P79" xr:uid="{00000000-0002-0000-0100-000033000000}">
      <formula1>16</formula1>
      <formula2>16</formula2>
    </dataValidation>
    <dataValidation type="decimal" errorStyle="warning" allowBlank="1" showInputMessage="1" showErrorMessage="1" errorTitle="Use Rate Error" error="Must be between 0.1380 and 0.2750" sqref="P80:P81" xr:uid="{00000000-0002-0000-0100-000034000000}">
      <formula1>0.138</formula1>
      <formula2>0.275</formula2>
    </dataValidation>
    <dataValidation type="decimal" errorStyle="warning" allowBlank="1" showInputMessage="1" showErrorMessage="1" errorTitle="Use Rate Error" error="Must be between 0.1770 and 0.3540" sqref="P82" xr:uid="{00000000-0002-0000-0100-000035000000}">
      <formula1>0.177</formula1>
      <formula2>0.354</formula2>
    </dataValidation>
    <dataValidation type="decimal" errorStyle="warning" allowBlank="1" showInputMessage="1" showErrorMessage="1" errorTitle="Use Rate Error" error="Must be between 0.1760 and 0.3520" sqref="P83" xr:uid="{00000000-0002-0000-0100-000036000000}">
      <formula1>0.176</formula1>
      <formula2>0.352</formula2>
    </dataValidation>
  </dataValidations>
  <pageMargins left="0.75" right="0.75" top="0.75" bottom="0.5" header="0.5" footer="0.75"/>
  <pageSetup orientation="portrait" horizontalDpi="1200" verticalDpi="1200" r:id="rId1"/>
  <headerFooter>
    <oddFooter>&amp;R&amp;1#&amp;"Calibri"&amp;22&amp;KFF8939RESTRICTED</oddFooter>
  </headerFooter>
  <customProperties>
    <customPr name="_pios_id" r:id="rId2"/>
  </customPropertie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M94"/>
  <sheetViews>
    <sheetView workbookViewId="0">
      <selection activeCell="F21" sqref="F21"/>
    </sheetView>
  </sheetViews>
  <sheetFormatPr baseColWidth="10" defaultColWidth="9.1640625" defaultRowHeight="14" x14ac:dyDescent="0.2"/>
  <cols>
    <col min="1" max="1" width="8.5" style="1" customWidth="1"/>
    <col min="2" max="2" width="8.1640625" style="1" customWidth="1"/>
    <col min="3" max="3" width="15.6640625" style="1" hidden="1" customWidth="1"/>
    <col min="4" max="4" width="40.6640625" style="1" customWidth="1"/>
    <col min="5" max="5" width="20.6640625" style="1" customWidth="1"/>
    <col min="6" max="6" width="9.1640625" style="2" customWidth="1"/>
    <col min="7" max="8" width="12.6640625" style="4" hidden="1" customWidth="1"/>
    <col min="9" max="9" width="12.6640625" style="4" customWidth="1"/>
    <col min="10" max="10" width="15.6640625" style="4" customWidth="1"/>
    <col min="11" max="11" width="15.6640625" style="3" customWidth="1"/>
    <col min="12" max="13" width="15.6640625" style="4" customWidth="1"/>
    <col min="14" max="14" width="9.1640625" style="4" hidden="1" customWidth="1"/>
    <col min="15" max="15" width="15.6640625" style="4" hidden="1" customWidth="1"/>
    <col min="16" max="16" width="9.6640625" style="15" customWidth="1"/>
    <col min="17" max="18" width="9.6640625" style="16" customWidth="1"/>
    <col min="19" max="19" width="15.6640625" style="15" customWidth="1"/>
    <col min="20" max="21" width="15.6640625" style="15" hidden="1" customWidth="1"/>
    <col min="22" max="22" width="10.6640625" style="15" hidden="1" customWidth="1"/>
    <col min="23" max="25" width="15.6640625" style="15" hidden="1" customWidth="1"/>
    <col min="26" max="27" width="15.6640625" style="15" customWidth="1"/>
    <col min="28" max="30" width="15.6640625" style="15" hidden="1" customWidth="1"/>
    <col min="31" max="31" width="15.6640625" style="4" hidden="1" customWidth="1"/>
    <col min="32" max="32" width="15.6640625" style="1" hidden="1" customWidth="1"/>
    <col min="33" max="33" width="2.83203125" style="1" customWidth="1"/>
    <col min="34" max="34" width="40.6640625" style="1" customWidth="1"/>
    <col min="35" max="35" width="15.6640625" style="1" customWidth="1"/>
    <col min="36" max="36" width="10.6640625" style="2" customWidth="1"/>
    <col min="37" max="37" width="10.6640625" style="1" customWidth="1"/>
    <col min="38" max="38" width="10.6640625" style="15" customWidth="1"/>
    <col min="39" max="39" width="10.6640625" style="16" customWidth="1"/>
    <col min="40" max="40" width="9.1640625" style="1" customWidth="1"/>
    <col min="41" max="16384" width="9.1640625" style="1"/>
  </cols>
  <sheetData>
    <row r="1" spans="2:39" s="17" customFormat="1" ht="56.25" customHeight="1" x14ac:dyDescent="0.2">
      <c r="B1" s="120" t="s">
        <v>245</v>
      </c>
      <c r="C1" s="120"/>
      <c r="D1" s="120"/>
      <c r="E1" s="120"/>
      <c r="F1" s="121"/>
      <c r="G1" s="122"/>
      <c r="H1" s="122"/>
      <c r="I1" s="122"/>
      <c r="J1" s="122"/>
      <c r="K1" s="123"/>
      <c r="L1" s="122"/>
      <c r="M1" s="122"/>
      <c r="N1" s="122"/>
      <c r="O1" s="122"/>
      <c r="P1" s="124"/>
      <c r="Q1" s="125"/>
      <c r="R1" s="125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2"/>
      <c r="AJ1" s="18"/>
      <c r="AL1" s="19"/>
      <c r="AM1" s="20"/>
    </row>
    <row r="3" spans="2:39" x14ac:dyDescent="0.2">
      <c r="B3" s="145" t="s">
        <v>38</v>
      </c>
      <c r="C3" s="127"/>
      <c r="D3" s="127"/>
      <c r="E3" s="128"/>
    </row>
    <row r="4" spans="2:39" x14ac:dyDescent="0.2">
      <c r="B4" s="129"/>
      <c r="C4" s="127"/>
      <c r="D4" s="127"/>
      <c r="E4" s="128"/>
    </row>
    <row r="5" spans="2:39" x14ac:dyDescent="0.2">
      <c r="B5" s="146" t="s">
        <v>39</v>
      </c>
      <c r="C5" s="131"/>
      <c r="D5" s="131"/>
      <c r="E5" s="132"/>
    </row>
    <row r="6" spans="2:39" x14ac:dyDescent="0.2">
      <c r="B6" s="133"/>
      <c r="C6" s="131"/>
      <c r="D6" s="131"/>
      <c r="E6" s="132"/>
    </row>
    <row r="7" spans="2:39" x14ac:dyDescent="0.2">
      <c r="B7" s="147" t="s">
        <v>246</v>
      </c>
      <c r="C7" s="135"/>
      <c r="D7" s="135"/>
      <c r="E7" s="136"/>
    </row>
    <row r="8" spans="2:39" x14ac:dyDescent="0.2">
      <c r="B8" s="147" t="s">
        <v>247</v>
      </c>
      <c r="C8" s="135"/>
      <c r="D8" s="135"/>
      <c r="E8" s="136"/>
    </row>
    <row r="9" spans="2:39" x14ac:dyDescent="0.2">
      <c r="B9" s="143" t="s">
        <v>248</v>
      </c>
      <c r="C9" s="138"/>
      <c r="D9" s="138"/>
      <c r="E9" s="139"/>
    </row>
    <row r="10" spans="2:39" x14ac:dyDescent="0.2">
      <c r="B10" s="144" t="s">
        <v>249</v>
      </c>
      <c r="C10" s="141"/>
      <c r="D10" s="141"/>
      <c r="E10" s="141"/>
    </row>
    <row r="11" spans="2:39" x14ac:dyDescent="0.2">
      <c r="B11" s="144" t="s">
        <v>250</v>
      </c>
      <c r="C11" s="141"/>
      <c r="D11" s="141"/>
      <c r="E11" s="141"/>
    </row>
    <row r="14" spans="2:39" x14ac:dyDescent="0.2">
      <c r="B14" s="79" t="s">
        <v>45</v>
      </c>
      <c r="C14" s="79"/>
      <c r="D14" s="79"/>
      <c r="E14" s="79"/>
      <c r="AH14" s="79" t="s">
        <v>46</v>
      </c>
      <c r="AI14" s="79"/>
      <c r="AJ14" s="113"/>
      <c r="AK14" s="79"/>
      <c r="AL14" s="114"/>
      <c r="AM14" s="115"/>
    </row>
    <row r="15" spans="2:39" x14ac:dyDescent="0.2">
      <c r="B15" s="79"/>
      <c r="C15" s="79"/>
      <c r="D15" s="79"/>
      <c r="E15" s="79"/>
      <c r="AH15" s="79"/>
      <c r="AI15" s="79"/>
      <c r="AJ15" s="113"/>
      <c r="AK15" s="79"/>
      <c r="AL15" s="114"/>
      <c r="AM15" s="115"/>
    </row>
    <row r="16" spans="2:39" x14ac:dyDescent="0.2">
      <c r="AH16" s="116" t="s">
        <v>251</v>
      </c>
      <c r="AI16" s="116"/>
      <c r="AJ16" s="117"/>
      <c r="AK16" s="116"/>
      <c r="AL16" s="118"/>
      <c r="AM16" s="119"/>
    </row>
    <row r="17" spans="2:39" x14ac:dyDescent="0.2">
      <c r="B17" s="90" t="s">
        <v>48</v>
      </c>
      <c r="C17" s="90"/>
      <c r="D17" s="90"/>
      <c r="E17" s="90"/>
      <c r="F17" s="91"/>
      <c r="G17" s="92"/>
      <c r="H17" s="92"/>
      <c r="I17" s="92"/>
      <c r="J17" s="92"/>
      <c r="K17" s="93"/>
      <c r="L17" s="92"/>
      <c r="M17" s="92"/>
      <c r="N17" s="92"/>
      <c r="O17" s="92"/>
      <c r="P17" s="94"/>
      <c r="Q17" s="95"/>
      <c r="R17" s="95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2"/>
      <c r="AF17" s="21"/>
      <c r="AH17" s="116"/>
      <c r="AI17" s="116"/>
      <c r="AJ17" s="117"/>
      <c r="AK17" s="116"/>
      <c r="AL17" s="118"/>
      <c r="AM17" s="119"/>
    </row>
    <row r="18" spans="2:39" x14ac:dyDescent="0.2">
      <c r="B18" s="87" t="s">
        <v>49</v>
      </c>
      <c r="C18" s="97" t="s">
        <v>6</v>
      </c>
      <c r="D18" s="97" t="s">
        <v>7</v>
      </c>
      <c r="E18" s="97" t="s">
        <v>50</v>
      </c>
      <c r="F18" s="142" t="s">
        <v>51</v>
      </c>
      <c r="G18" s="84" t="s">
        <v>52</v>
      </c>
      <c r="H18" s="84" t="s">
        <v>53</v>
      </c>
      <c r="I18" s="101" t="s">
        <v>54</v>
      </c>
      <c r="J18" s="101" t="s">
        <v>55</v>
      </c>
      <c r="K18" s="104" t="s">
        <v>11</v>
      </c>
      <c r="L18" s="84" t="s">
        <v>56</v>
      </c>
      <c r="M18" s="101" t="s">
        <v>57</v>
      </c>
      <c r="N18" s="84" t="s">
        <v>58</v>
      </c>
      <c r="O18" s="84" t="s">
        <v>59</v>
      </c>
      <c r="P18" s="81" t="s">
        <v>60</v>
      </c>
      <c r="Q18" s="110" t="s">
        <v>61</v>
      </c>
      <c r="R18" s="110" t="s">
        <v>62</v>
      </c>
      <c r="S18" s="81" t="s">
        <v>63</v>
      </c>
      <c r="T18" s="81" t="s">
        <v>64</v>
      </c>
      <c r="U18" s="81" t="s">
        <v>65</v>
      </c>
      <c r="V18" s="81" t="s">
        <v>66</v>
      </c>
      <c r="W18" s="81" t="s">
        <v>67</v>
      </c>
      <c r="X18" s="81" t="s">
        <v>68</v>
      </c>
      <c r="Y18" s="81" t="s">
        <v>69</v>
      </c>
      <c r="Z18" s="81" t="s">
        <v>2</v>
      </c>
      <c r="AA18" s="81" t="s">
        <v>70</v>
      </c>
      <c r="AB18" s="81" t="s">
        <v>71</v>
      </c>
      <c r="AC18" s="81" t="s">
        <v>72</v>
      </c>
      <c r="AD18" s="81" t="s">
        <v>73</v>
      </c>
      <c r="AE18" s="84" t="s">
        <v>49</v>
      </c>
      <c r="AF18" s="87" t="s">
        <v>74</v>
      </c>
      <c r="AH18" s="116"/>
      <c r="AI18" s="116"/>
      <c r="AJ18" s="117"/>
      <c r="AK18" s="116"/>
      <c r="AL18" s="118"/>
      <c r="AM18" s="119"/>
    </row>
    <row r="19" spans="2:39" x14ac:dyDescent="0.2">
      <c r="B19" s="88"/>
      <c r="C19" s="88"/>
      <c r="D19" s="88"/>
      <c r="E19" s="88"/>
      <c r="F19" s="99"/>
      <c r="G19" s="85"/>
      <c r="H19" s="85"/>
      <c r="I19" s="85"/>
      <c r="J19" s="85"/>
      <c r="K19" s="105"/>
      <c r="L19" s="85"/>
      <c r="M19" s="85"/>
      <c r="N19" s="85"/>
      <c r="O19" s="85"/>
      <c r="P19" s="108"/>
      <c r="Q19" s="111"/>
      <c r="R19" s="111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5"/>
      <c r="AF19" s="88"/>
    </row>
    <row r="20" spans="2:39" x14ac:dyDescent="0.2">
      <c r="B20" s="88"/>
      <c r="C20" s="88"/>
      <c r="D20" s="88"/>
      <c r="E20" s="88"/>
      <c r="F20" s="99"/>
      <c r="G20" s="85"/>
      <c r="H20" s="85"/>
      <c r="I20" s="85"/>
      <c r="J20" s="85"/>
      <c r="K20" s="105"/>
      <c r="L20" s="85"/>
      <c r="M20" s="85"/>
      <c r="N20" s="85"/>
      <c r="O20" s="85"/>
      <c r="P20" s="108"/>
      <c r="Q20" s="111"/>
      <c r="R20" s="111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5"/>
      <c r="AF20" s="88"/>
      <c r="AH20" s="71" t="s">
        <v>136</v>
      </c>
      <c r="AI20" s="71"/>
      <c r="AJ20" s="72"/>
      <c r="AK20" s="71"/>
      <c r="AL20" s="73"/>
      <c r="AM20" s="74"/>
    </row>
    <row r="21" spans="2:39" x14ac:dyDescent="0.2">
      <c r="B21" s="24"/>
      <c r="C21" s="25" t="s">
        <v>76</v>
      </c>
      <c r="D21" s="25" t="s">
        <v>77</v>
      </c>
      <c r="E21" s="25" t="s">
        <v>78</v>
      </c>
      <c r="F21" s="26"/>
      <c r="G21" s="27">
        <v>339.47643749999997</v>
      </c>
      <c r="H21" s="27" t="str">
        <f t="shared" ref="H21:H48" si="0">IF(F21*G21= 0,"",F21*G21)</f>
        <v/>
      </c>
      <c r="I21" s="27">
        <v>339.47643749999997</v>
      </c>
      <c r="J21" s="27" t="str">
        <f t="shared" ref="J21:J48" si="1">IF(F21*I21= 0,"",F21*I21)</f>
        <v/>
      </c>
      <c r="K21" s="28">
        <f t="shared" ref="K21:K48" si="2">IF(AND(AD21 &lt;&gt; "", SUM(S21:AC21) &lt;= AD21), SUM(S21:AC21), AD21)</f>
        <v>0</v>
      </c>
      <c r="L21" s="27" t="str">
        <f t="shared" ref="L21:L48" si="3">IF(F21 ="","",F21*K21*N21)</f>
        <v/>
      </c>
      <c r="M21" s="27" t="str">
        <f t="shared" ref="M21:M48" si="4">IF(AND(F21&lt;&gt;"",F21&gt;0),((J21/F21)-(L21/F21)),"")</f>
        <v/>
      </c>
      <c r="N21" s="27">
        <v>0</v>
      </c>
      <c r="O21" s="27" t="str">
        <f t="shared" ref="O21:O48" si="5">IF(AND(F21&lt;&gt;"",F21&gt;0), F21*M21,"")</f>
        <v/>
      </c>
      <c r="P21" s="29">
        <v>0.16</v>
      </c>
      <c r="Q21" s="30">
        <f t="shared" ref="Q21:Q48" si="6">P21*43.56</f>
        <v>6.9696000000000007</v>
      </c>
      <c r="R21" s="30" t="str">
        <f>IF(AND(TRIM(Q21)&lt;&gt;"",TRIM(F21)&lt;&gt;""),(F21*64)/Q21,"")</f>
        <v/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27">
        <f t="shared" ref="AE21:AE48" si="7">IF(F21 = "",0,N21*F21)</f>
        <v>0</v>
      </c>
      <c r="AF21" s="25"/>
      <c r="AH21" s="71"/>
      <c r="AI21" s="71"/>
      <c r="AJ21" s="72"/>
      <c r="AK21" s="71"/>
      <c r="AL21" s="73"/>
      <c r="AM21" s="74"/>
    </row>
    <row r="22" spans="2:39" x14ac:dyDescent="0.2">
      <c r="B22" s="24">
        <v>1</v>
      </c>
      <c r="C22" s="25" t="s">
        <v>14</v>
      </c>
      <c r="D22" s="25" t="s">
        <v>15</v>
      </c>
      <c r="E22" s="25" t="s">
        <v>16</v>
      </c>
      <c r="F22" s="26"/>
      <c r="G22" s="27">
        <v>1020.9326</v>
      </c>
      <c r="H22" s="27" t="str">
        <f t="shared" si="0"/>
        <v/>
      </c>
      <c r="I22" s="27">
        <v>1020.9326</v>
      </c>
      <c r="J22" s="27" t="str">
        <f t="shared" si="1"/>
        <v/>
      </c>
      <c r="K22" s="28">
        <f t="shared" ca="1" si="2"/>
        <v>0</v>
      </c>
      <c r="L22" s="27" t="str">
        <f t="shared" si="3"/>
        <v/>
      </c>
      <c r="M22" s="27" t="str">
        <f t="shared" si="4"/>
        <v/>
      </c>
      <c r="N22" s="27">
        <v>999.2</v>
      </c>
      <c r="O22" s="27" t="str">
        <f t="shared" si="5"/>
        <v/>
      </c>
      <c r="P22" s="29">
        <v>2</v>
      </c>
      <c r="Q22" s="30">
        <f t="shared" si="6"/>
        <v>87.12</v>
      </c>
      <c r="R22" s="30" t="str">
        <f>IF(AND(TRIM(Q22)&lt;&gt;"",TRIM(F22)&lt;&gt;""),(F22*319.999849189052)/Q22,"")</f>
        <v/>
      </c>
      <c r="S22" s="31" t="str">
        <f ca="1">IF(AND(F22 &lt;&gt;"",F22&gt;0), IFERROR(VLOOKUP(F22,INDIRECT(AF22),3,TRUE),0), "")</f>
        <v/>
      </c>
      <c r="T22" s="31"/>
      <c r="U22" s="31"/>
      <c r="V22" s="31"/>
      <c r="W22" s="31"/>
      <c r="X22" s="31"/>
      <c r="Y22" s="31"/>
      <c r="Z22" s="31" t="str">
        <f>IF(AND(B22 = 1, F22 &lt;&gt;""), Z75,"")</f>
        <v/>
      </c>
      <c r="AA22" s="31" t="str">
        <f>IF(F22 = "", "", IF(AND(AND(F22 &gt;= 4, F22 &lt;= 999999), AND(SUM(F27) &gt;= 3, SUM(F27) &lt; 999999)), 0.025020016012,""))</f>
        <v/>
      </c>
      <c r="AB22" s="31"/>
      <c r="AC22" s="31"/>
      <c r="AD22" s="31">
        <v>1</v>
      </c>
      <c r="AE22" s="27">
        <f t="shared" si="7"/>
        <v>0</v>
      </c>
      <c r="AF22" s="25" t="s">
        <v>79</v>
      </c>
      <c r="AH22" s="75"/>
      <c r="AI22" s="75"/>
      <c r="AJ22" s="76"/>
      <c r="AK22" s="75"/>
      <c r="AL22" s="77"/>
      <c r="AM22" s="78"/>
    </row>
    <row r="23" spans="2:39" x14ac:dyDescent="0.2">
      <c r="B23" s="24"/>
      <c r="C23" s="25" t="s">
        <v>80</v>
      </c>
      <c r="D23" s="25" t="s">
        <v>81</v>
      </c>
      <c r="E23" s="25" t="s">
        <v>16</v>
      </c>
      <c r="F23" s="26"/>
      <c r="G23" s="27">
        <v>1415.12375</v>
      </c>
      <c r="H23" s="27" t="str">
        <f t="shared" si="0"/>
        <v/>
      </c>
      <c r="I23" s="27">
        <v>1415.12375</v>
      </c>
      <c r="J23" s="27" t="str">
        <f t="shared" si="1"/>
        <v/>
      </c>
      <c r="K23" s="28">
        <f t="shared" si="2"/>
        <v>0</v>
      </c>
      <c r="L23" s="27" t="str">
        <f t="shared" si="3"/>
        <v/>
      </c>
      <c r="M23" s="27" t="str">
        <f t="shared" si="4"/>
        <v/>
      </c>
      <c r="N23" s="27">
        <v>0</v>
      </c>
      <c r="O23" s="27" t="str">
        <f t="shared" si="5"/>
        <v/>
      </c>
      <c r="P23" s="29">
        <v>1</v>
      </c>
      <c r="Q23" s="30">
        <f t="shared" si="6"/>
        <v>43.56</v>
      </c>
      <c r="R23" s="30" t="str">
        <f>IF(AND(TRIM(Q23)&lt;&gt;"",TRIM(F23)&lt;&gt;""),(F23*319.999849189052)/Q23,"")</f>
        <v/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27">
        <f t="shared" si="7"/>
        <v>0</v>
      </c>
      <c r="AF23" s="25"/>
      <c r="AH23" s="75"/>
      <c r="AI23" s="75"/>
      <c r="AJ23" s="76"/>
      <c r="AK23" s="75"/>
      <c r="AL23" s="77"/>
      <c r="AM23" s="78"/>
    </row>
    <row r="24" spans="2:39" x14ac:dyDescent="0.2">
      <c r="B24" s="24"/>
      <c r="C24" s="25" t="s">
        <v>82</v>
      </c>
      <c r="D24" s="25" t="s">
        <v>83</v>
      </c>
      <c r="E24" s="25" t="s">
        <v>84</v>
      </c>
      <c r="F24" s="26"/>
      <c r="G24" s="27">
        <v>109.9913875</v>
      </c>
      <c r="H24" s="27" t="str">
        <f t="shared" si="0"/>
        <v/>
      </c>
      <c r="I24" s="27">
        <v>109.9913875</v>
      </c>
      <c r="J24" s="27" t="str">
        <f t="shared" si="1"/>
        <v/>
      </c>
      <c r="K24" s="28">
        <f t="shared" si="2"/>
        <v>0</v>
      </c>
      <c r="L24" s="27" t="str">
        <f t="shared" si="3"/>
        <v/>
      </c>
      <c r="M24" s="27" t="str">
        <f t="shared" si="4"/>
        <v/>
      </c>
      <c r="N24" s="27">
        <v>0</v>
      </c>
      <c r="O24" s="27" t="str">
        <f t="shared" si="5"/>
        <v/>
      </c>
      <c r="P24" s="29">
        <v>8.5000000000000006E-2</v>
      </c>
      <c r="Q24" s="30">
        <f t="shared" si="6"/>
        <v>3.7026000000000003</v>
      </c>
      <c r="R24" s="30" t="str">
        <f>IF(AND(TRIM(Q24)&lt;&gt;"",TRIM(F24)&lt;&gt;""),(F24*10)/Q24,"")</f>
        <v/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27">
        <f t="shared" si="7"/>
        <v>0</v>
      </c>
      <c r="AF24" s="25"/>
      <c r="AH24" s="63"/>
      <c r="AI24" s="63"/>
      <c r="AJ24" s="64"/>
      <c r="AK24" s="63"/>
      <c r="AL24" s="65"/>
      <c r="AM24" s="66"/>
    </row>
    <row r="25" spans="2:39" ht="27" x14ac:dyDescent="0.2">
      <c r="B25" s="24">
        <v>1</v>
      </c>
      <c r="C25" s="25" t="s">
        <v>85</v>
      </c>
      <c r="D25" s="25" t="s">
        <v>86</v>
      </c>
      <c r="E25" s="25" t="s">
        <v>84</v>
      </c>
      <c r="F25" s="26"/>
      <c r="G25" s="27">
        <v>150.19725</v>
      </c>
      <c r="H25" s="27" t="str">
        <f t="shared" si="0"/>
        <v/>
      </c>
      <c r="I25" s="27">
        <v>150.19725</v>
      </c>
      <c r="J25" s="27" t="str">
        <f t="shared" si="1"/>
        <v/>
      </c>
      <c r="K25" s="28">
        <f t="shared" si="2"/>
        <v>0</v>
      </c>
      <c r="L25" s="27" t="str">
        <f t="shared" si="3"/>
        <v/>
      </c>
      <c r="M25" s="27" t="str">
        <f t="shared" si="4"/>
        <v/>
      </c>
      <c r="N25" s="27">
        <v>147</v>
      </c>
      <c r="O25" s="27" t="str">
        <f t="shared" si="5"/>
        <v/>
      </c>
      <c r="P25" s="29">
        <v>0.17</v>
      </c>
      <c r="Q25" s="30">
        <f t="shared" si="6"/>
        <v>7.4052000000000007</v>
      </c>
      <c r="R25" s="30" t="str">
        <f>IF(AND(TRIM(Q25)&lt;&gt;"",TRIM(F25)&lt;&gt;""),(F25*10)/Q25,"")</f>
        <v/>
      </c>
      <c r="S25" s="31"/>
      <c r="T25" s="31"/>
      <c r="U25" s="31"/>
      <c r="V25" s="31"/>
      <c r="W25" s="31"/>
      <c r="X25" s="31"/>
      <c r="Y25" s="31"/>
      <c r="Z25" s="31" t="str">
        <f>IF(AND(B25 = 1, F25 &lt;&gt;""), Z75,"")</f>
        <v/>
      </c>
      <c r="AA25" s="31"/>
      <c r="AB25" s="31"/>
      <c r="AC25" s="31"/>
      <c r="AD25" s="31">
        <v>1</v>
      </c>
      <c r="AE25" s="27">
        <f t="shared" si="7"/>
        <v>0</v>
      </c>
      <c r="AF25" s="25"/>
      <c r="AH25" s="32" t="s">
        <v>87</v>
      </c>
      <c r="AI25" s="33" t="s">
        <v>50</v>
      </c>
      <c r="AJ25" s="34" t="s">
        <v>51</v>
      </c>
      <c r="AK25" s="33" t="s">
        <v>88</v>
      </c>
      <c r="AL25" s="35" t="s">
        <v>60</v>
      </c>
      <c r="AM25" s="36" t="s">
        <v>89</v>
      </c>
    </row>
    <row r="26" spans="2:39" x14ac:dyDescent="0.2">
      <c r="B26" s="24">
        <v>1</v>
      </c>
      <c r="C26" s="25" t="s">
        <v>90</v>
      </c>
      <c r="D26" s="25" t="s">
        <v>91</v>
      </c>
      <c r="E26" s="25" t="s">
        <v>92</v>
      </c>
      <c r="F26" s="26"/>
      <c r="G26" s="27">
        <v>1345.68562</v>
      </c>
      <c r="H26" s="27" t="str">
        <f t="shared" si="0"/>
        <v/>
      </c>
      <c r="I26" s="27">
        <v>1345.68562</v>
      </c>
      <c r="J26" s="27" t="str">
        <f t="shared" si="1"/>
        <v/>
      </c>
      <c r="K26" s="28">
        <f t="shared" si="2"/>
        <v>0</v>
      </c>
      <c r="L26" s="27" t="str">
        <f t="shared" si="3"/>
        <v/>
      </c>
      <c r="M26" s="27" t="str">
        <f t="shared" si="4"/>
        <v/>
      </c>
      <c r="N26" s="27">
        <v>1317.04</v>
      </c>
      <c r="O26" s="27" t="str">
        <f t="shared" si="5"/>
        <v/>
      </c>
      <c r="P26" s="29">
        <v>4</v>
      </c>
      <c r="Q26" s="30">
        <f t="shared" si="6"/>
        <v>174.24</v>
      </c>
      <c r="R26" s="30" t="str">
        <f>IF(AND(TRIM(Q26)&lt;&gt;"",TRIM(F26)&lt;&gt;""),(F26*703.999999010471)/Q26,"")</f>
        <v/>
      </c>
      <c r="S26" s="31"/>
      <c r="T26" s="31"/>
      <c r="U26" s="31"/>
      <c r="V26" s="31"/>
      <c r="W26" s="31"/>
      <c r="X26" s="31"/>
      <c r="Y26" s="31"/>
      <c r="Z26" s="31" t="str">
        <f>IF(AND(B26 = 1, F26 &lt;&gt;""), Z75,"")</f>
        <v/>
      </c>
      <c r="AA26" s="31" t="str">
        <f>IF(F26 = "", "", IF(AND(AND(F26 &gt;= 3, F26 &lt;= 999999), AND(SUM(F22:F22) &gt;= 4, SUM(F22:F22) &lt; 999999)), 0.024232633279,""))</f>
        <v/>
      </c>
      <c r="AB26" s="31"/>
      <c r="AC26" s="31"/>
      <c r="AD26" s="31">
        <v>1</v>
      </c>
      <c r="AE26" s="27">
        <f t="shared" si="7"/>
        <v>0</v>
      </c>
      <c r="AF26" s="25"/>
      <c r="AH26" s="37" t="s">
        <v>146</v>
      </c>
      <c r="AI26" s="38" t="s">
        <v>134</v>
      </c>
      <c r="AJ26" s="39">
        <v>2</v>
      </c>
      <c r="AK26" s="24" t="s">
        <v>147</v>
      </c>
      <c r="AL26" s="40">
        <v>0.13800000000000001</v>
      </c>
      <c r="AM26" s="30">
        <v>42.586583781031898</v>
      </c>
    </row>
    <row r="27" spans="2:39" x14ac:dyDescent="0.2">
      <c r="B27" s="24">
        <v>1</v>
      </c>
      <c r="C27" s="25" t="s">
        <v>90</v>
      </c>
      <c r="D27" s="25" t="s">
        <v>96</v>
      </c>
      <c r="E27" s="25" t="s">
        <v>92</v>
      </c>
      <c r="F27" s="26"/>
      <c r="G27" s="27">
        <v>1345.68562</v>
      </c>
      <c r="H27" s="27" t="str">
        <f t="shared" si="0"/>
        <v/>
      </c>
      <c r="I27" s="27">
        <v>1264.9265</v>
      </c>
      <c r="J27" s="27" t="str">
        <f t="shared" si="1"/>
        <v/>
      </c>
      <c r="K27" s="28">
        <f t="shared" si="2"/>
        <v>0</v>
      </c>
      <c r="L27" s="27" t="str">
        <f t="shared" si="3"/>
        <v/>
      </c>
      <c r="M27" s="27" t="str">
        <f t="shared" si="4"/>
        <v/>
      </c>
      <c r="N27" s="27">
        <v>1238</v>
      </c>
      <c r="O27" s="27" t="str">
        <f t="shared" si="5"/>
        <v/>
      </c>
      <c r="P27" s="29">
        <v>4</v>
      </c>
      <c r="Q27" s="30">
        <f t="shared" si="6"/>
        <v>174.24</v>
      </c>
      <c r="R27" s="30" t="str">
        <f>IF(AND(TRIM(Q27)&lt;&gt;"",TRIM(F27)&lt;&gt;""),(F27*703.999999010471)/Q27,"")</f>
        <v/>
      </c>
      <c r="S27" s="31"/>
      <c r="T27" s="31"/>
      <c r="U27" s="31"/>
      <c r="V27" s="31"/>
      <c r="W27" s="31"/>
      <c r="X27" s="31"/>
      <c r="Y27" s="31"/>
      <c r="Z27" s="31" t="str">
        <f>IF(AND(B27 = 1, F27 &lt;&gt;""), Z75,"")</f>
        <v/>
      </c>
      <c r="AA27" s="31" t="str">
        <f>IF(F27 = "", "", IF(AND(AND(F27 &gt;= 3, F27 &lt;= 999999), AND(SUM(F22:F22) &gt;= 4, SUM(F22:F22) &lt; 999999)), 0.024232633279,""))</f>
        <v/>
      </c>
      <c r="AB27" s="31"/>
      <c r="AC27" s="31"/>
      <c r="AD27" s="31">
        <v>1</v>
      </c>
      <c r="AE27" s="27">
        <f t="shared" si="7"/>
        <v>0</v>
      </c>
      <c r="AF27" s="25"/>
      <c r="AH27" s="37" t="s">
        <v>150</v>
      </c>
      <c r="AI27" s="38" t="s">
        <v>151</v>
      </c>
      <c r="AJ27" s="39">
        <v>6</v>
      </c>
      <c r="AK27" s="24" t="s">
        <v>152</v>
      </c>
      <c r="AL27" s="40">
        <v>2.3E-2</v>
      </c>
      <c r="AM27" s="30">
        <v>35.932446999640703</v>
      </c>
    </row>
    <row r="28" spans="2:39" ht="27" x14ac:dyDescent="0.2">
      <c r="B28" s="24"/>
      <c r="C28" s="25" t="s">
        <v>106</v>
      </c>
      <c r="D28" s="25" t="s">
        <v>107</v>
      </c>
      <c r="E28" s="25" t="s">
        <v>16</v>
      </c>
      <c r="F28" s="26"/>
      <c r="G28" s="27">
        <v>145.476765</v>
      </c>
      <c r="H28" s="27" t="str">
        <f t="shared" si="0"/>
        <v/>
      </c>
      <c r="I28" s="27">
        <v>145.476765</v>
      </c>
      <c r="J28" s="27" t="str">
        <f t="shared" si="1"/>
        <v/>
      </c>
      <c r="K28" s="28">
        <f t="shared" si="2"/>
        <v>0</v>
      </c>
      <c r="L28" s="27" t="str">
        <f t="shared" si="3"/>
        <v/>
      </c>
      <c r="M28" s="27" t="str">
        <f t="shared" si="4"/>
        <v/>
      </c>
      <c r="N28" s="27">
        <v>0</v>
      </c>
      <c r="O28" s="27" t="str">
        <f t="shared" si="5"/>
        <v/>
      </c>
      <c r="P28" s="29">
        <v>5</v>
      </c>
      <c r="Q28" s="30">
        <f t="shared" si="6"/>
        <v>217.8</v>
      </c>
      <c r="R28" s="30" t="str">
        <f>IF(AND(TRIM(Q28)&lt;&gt;"",TRIM(F28)&lt;&gt;""),(F28*319.999849189052)/Q28,"")</f>
        <v/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27">
        <f t="shared" si="7"/>
        <v>0</v>
      </c>
      <c r="AF28" s="25"/>
      <c r="AH28" s="32" t="s">
        <v>102</v>
      </c>
      <c r="AI28" s="33" t="s">
        <v>50</v>
      </c>
      <c r="AJ28" s="34" t="s">
        <v>51</v>
      </c>
      <c r="AK28" s="33" t="s">
        <v>88</v>
      </c>
      <c r="AL28" s="35" t="s">
        <v>60</v>
      </c>
      <c r="AM28" s="36" t="s">
        <v>89</v>
      </c>
    </row>
    <row r="29" spans="2:39" x14ac:dyDescent="0.2">
      <c r="B29" s="24">
        <v>1</v>
      </c>
      <c r="C29" s="25" t="s">
        <v>108</v>
      </c>
      <c r="D29" s="25" t="s">
        <v>109</v>
      </c>
      <c r="E29" s="25" t="s">
        <v>110</v>
      </c>
      <c r="F29" s="26"/>
      <c r="G29" s="27">
        <v>1736.9749999999999</v>
      </c>
      <c r="H29" s="27" t="str">
        <f t="shared" si="0"/>
        <v/>
      </c>
      <c r="I29" s="27">
        <v>1736.9749999999999</v>
      </c>
      <c r="J29" s="27" t="str">
        <f t="shared" si="1"/>
        <v/>
      </c>
      <c r="K29" s="28">
        <f t="shared" si="2"/>
        <v>0</v>
      </c>
      <c r="L29" s="27" t="str">
        <f t="shared" si="3"/>
        <v/>
      </c>
      <c r="M29" s="27" t="str">
        <f t="shared" si="4"/>
        <v/>
      </c>
      <c r="N29" s="27">
        <v>1700</v>
      </c>
      <c r="O29" s="27" t="str">
        <f t="shared" si="5"/>
        <v/>
      </c>
      <c r="P29" s="29">
        <v>0.39</v>
      </c>
      <c r="Q29" s="30">
        <f t="shared" si="6"/>
        <v>16.988400000000002</v>
      </c>
      <c r="R29" s="30" t="str">
        <f>IF(AND(TRIM(Q29)&lt;&gt;"",TRIM(F29)&lt;&gt;""),(F29*17.1)/Q29,"")</f>
        <v/>
      </c>
      <c r="S29" s="31"/>
      <c r="T29" s="31"/>
      <c r="U29" s="31"/>
      <c r="V29" s="31"/>
      <c r="W29" s="31"/>
      <c r="X29" s="31"/>
      <c r="Y29" s="31"/>
      <c r="Z29" s="31" t="str">
        <f>IF(AND(B29 = 1, F29 &lt;&gt;""), Z75,"")</f>
        <v/>
      </c>
      <c r="AA29" s="31"/>
      <c r="AB29" s="31"/>
      <c r="AC29" s="31"/>
      <c r="AD29" s="31">
        <v>1</v>
      </c>
      <c r="AE29" s="27">
        <f t="shared" si="7"/>
        <v>0</v>
      </c>
      <c r="AF29" s="25"/>
      <c r="AH29" s="67" t="s">
        <v>105</v>
      </c>
      <c r="AI29" s="67"/>
      <c r="AJ29" s="68"/>
      <c r="AK29" s="67"/>
      <c r="AL29" s="69"/>
      <c r="AM29" s="70"/>
    </row>
    <row r="30" spans="2:39" x14ac:dyDescent="0.2">
      <c r="B30" s="24">
        <v>1</v>
      </c>
      <c r="C30" s="25" t="s">
        <v>108</v>
      </c>
      <c r="D30" s="25" t="s">
        <v>111</v>
      </c>
      <c r="E30" s="25" t="s">
        <v>110</v>
      </c>
      <c r="F30" s="26"/>
      <c r="G30" s="27">
        <v>1736.9749999999999</v>
      </c>
      <c r="H30" s="27" t="str">
        <f t="shared" si="0"/>
        <v/>
      </c>
      <c r="I30" s="27">
        <v>1563.2774999999999</v>
      </c>
      <c r="J30" s="27" t="str">
        <f t="shared" si="1"/>
        <v/>
      </c>
      <c r="K30" s="28">
        <f t="shared" si="2"/>
        <v>0</v>
      </c>
      <c r="L30" s="27" t="str">
        <f t="shared" si="3"/>
        <v/>
      </c>
      <c r="M30" s="27" t="str">
        <f t="shared" si="4"/>
        <v/>
      </c>
      <c r="N30" s="27">
        <v>1530</v>
      </c>
      <c r="O30" s="27" t="str">
        <f t="shared" si="5"/>
        <v/>
      </c>
      <c r="P30" s="29">
        <v>0.39</v>
      </c>
      <c r="Q30" s="30">
        <f t="shared" si="6"/>
        <v>16.988400000000002</v>
      </c>
      <c r="R30" s="30" t="str">
        <f>IF(AND(TRIM(Q30)&lt;&gt;"",TRIM(F30)&lt;&gt;""),(F30*17.1)/Q30,"")</f>
        <v/>
      </c>
      <c r="S30" s="31"/>
      <c r="T30" s="31"/>
      <c r="U30" s="31"/>
      <c r="V30" s="31"/>
      <c r="W30" s="31"/>
      <c r="X30" s="31"/>
      <c r="Y30" s="31"/>
      <c r="Z30" s="31" t="str">
        <f>IF(AND(B30 = 1, F30 &lt;&gt;""), Z75,"")</f>
        <v/>
      </c>
      <c r="AA30" s="31"/>
      <c r="AB30" s="31"/>
      <c r="AC30" s="31"/>
      <c r="AD30" s="31">
        <v>1</v>
      </c>
      <c r="AE30" s="27">
        <f t="shared" si="7"/>
        <v>0</v>
      </c>
      <c r="AF30" s="25"/>
    </row>
    <row r="31" spans="2:39" x14ac:dyDescent="0.2">
      <c r="B31" s="24">
        <v>1</v>
      </c>
      <c r="C31" s="25" t="s">
        <v>18</v>
      </c>
      <c r="D31" s="25" t="s">
        <v>113</v>
      </c>
      <c r="E31" s="25" t="s">
        <v>16</v>
      </c>
      <c r="F31" s="26"/>
      <c r="G31" s="27">
        <v>482.77687500000002</v>
      </c>
      <c r="H31" s="27" t="str">
        <f t="shared" si="0"/>
        <v/>
      </c>
      <c r="I31" s="27">
        <v>482.77687500000002</v>
      </c>
      <c r="J31" s="27" t="str">
        <f t="shared" si="1"/>
        <v/>
      </c>
      <c r="K31" s="28">
        <f t="shared" ca="1" si="2"/>
        <v>0</v>
      </c>
      <c r="L31" s="27" t="str">
        <f t="shared" si="3"/>
        <v/>
      </c>
      <c r="M31" s="27" t="str">
        <f t="shared" si="4"/>
        <v/>
      </c>
      <c r="N31" s="27">
        <v>472.5</v>
      </c>
      <c r="O31" s="27" t="str">
        <f t="shared" si="5"/>
        <v/>
      </c>
      <c r="P31" s="29">
        <v>4</v>
      </c>
      <c r="Q31" s="30">
        <f t="shared" si="6"/>
        <v>174.24</v>
      </c>
      <c r="R31" s="30" t="str">
        <f>IF(AND(TRIM(Q31)&lt;&gt;"",TRIM(F31)&lt;&gt;""),(F31*319.999849189052)/Q31,"")</f>
        <v/>
      </c>
      <c r="S31" s="31" t="str">
        <f ca="1">IF(AND(F31 &lt;&gt;"",F31&gt;0), IFERROR(VLOOKUP(F31,INDIRECT(AF31),3,TRUE),0), "")</f>
        <v/>
      </c>
      <c r="T31" s="31"/>
      <c r="U31" s="31"/>
      <c r="V31" s="31"/>
      <c r="W31" s="31"/>
      <c r="X31" s="31"/>
      <c r="Y31" s="31"/>
      <c r="Z31" s="31" t="str">
        <f>IF(AND(B31 = 1, F31 &lt;&gt;""), Z75,"")</f>
        <v/>
      </c>
      <c r="AA31" s="31" t="str">
        <f>IF(F31 = "", "", IF(AND(AND(F31 &gt;= 6, F31 &lt;= 999999), AND(SUM(F34:F34) &gt;= 2, SUM(F34:F34) &lt; 999999)), 0.050602409638,""))</f>
        <v/>
      </c>
      <c r="AB31" s="31"/>
      <c r="AC31" s="31"/>
      <c r="AD31" s="31">
        <v>1</v>
      </c>
      <c r="AE31" s="27">
        <f t="shared" si="7"/>
        <v>0</v>
      </c>
      <c r="AF31" s="25" t="s">
        <v>114</v>
      </c>
    </row>
    <row r="32" spans="2:39" x14ac:dyDescent="0.2">
      <c r="B32" s="24">
        <v>1</v>
      </c>
      <c r="C32" s="25" t="s">
        <v>18</v>
      </c>
      <c r="D32" s="25" t="s">
        <v>115</v>
      </c>
      <c r="E32" s="25" t="s">
        <v>16</v>
      </c>
      <c r="F32" s="26"/>
      <c r="G32" s="27">
        <v>482.77687500000002</v>
      </c>
      <c r="H32" s="27" t="str">
        <f t="shared" si="0"/>
        <v/>
      </c>
      <c r="I32" s="27">
        <v>424.02625</v>
      </c>
      <c r="J32" s="27" t="str">
        <f t="shared" si="1"/>
        <v/>
      </c>
      <c r="K32" s="28">
        <f t="shared" ca="1" si="2"/>
        <v>0</v>
      </c>
      <c r="L32" s="27" t="str">
        <f t="shared" si="3"/>
        <v/>
      </c>
      <c r="M32" s="27" t="str">
        <f t="shared" si="4"/>
        <v/>
      </c>
      <c r="N32" s="27">
        <v>415</v>
      </c>
      <c r="O32" s="27" t="str">
        <f t="shared" si="5"/>
        <v/>
      </c>
      <c r="P32" s="29">
        <v>4</v>
      </c>
      <c r="Q32" s="30">
        <f t="shared" si="6"/>
        <v>174.24</v>
      </c>
      <c r="R32" s="30" t="str">
        <f>IF(AND(TRIM(Q32)&lt;&gt;"",TRIM(F32)&lt;&gt;""),(F32*319.999849189052)/Q32,"")</f>
        <v/>
      </c>
      <c r="S32" s="31" t="str">
        <f ca="1">IF(AND(F32 &lt;&gt;"",F32&gt;0), IFERROR(VLOOKUP(F32,INDIRECT(AF32),3,TRUE),0), "")</f>
        <v/>
      </c>
      <c r="T32" s="31"/>
      <c r="U32" s="31"/>
      <c r="V32" s="31"/>
      <c r="W32" s="31"/>
      <c r="X32" s="31"/>
      <c r="Y32" s="31"/>
      <c r="Z32" s="31" t="str">
        <f>IF(AND(B32 = 1, F32 &lt;&gt;""), Z75,"")</f>
        <v/>
      </c>
      <c r="AA32" s="31" t="str">
        <f>IF(F32 = "", "", IF(AND(AND(F32 &gt;= 6, F32 &lt;= 999999), AND(SUM(F34:F34) &gt;= 2, SUM(F34:F34) &lt; 999999)), 0.050602409638,""))</f>
        <v/>
      </c>
      <c r="AB32" s="31"/>
      <c r="AC32" s="31"/>
      <c r="AD32" s="31">
        <v>1</v>
      </c>
      <c r="AE32" s="27">
        <f t="shared" si="7"/>
        <v>0</v>
      </c>
      <c r="AF32" s="25" t="s">
        <v>114</v>
      </c>
      <c r="AH32" s="71" t="s">
        <v>158</v>
      </c>
      <c r="AI32" s="71"/>
      <c r="AJ32" s="72"/>
      <c r="AK32" s="71"/>
      <c r="AL32" s="73"/>
      <c r="AM32" s="74"/>
    </row>
    <row r="33" spans="2:39" x14ac:dyDescent="0.2">
      <c r="B33" s="24"/>
      <c r="C33" s="25" t="s">
        <v>116</v>
      </c>
      <c r="D33" s="25" t="s">
        <v>117</v>
      </c>
      <c r="E33" s="25" t="s">
        <v>118</v>
      </c>
      <c r="F33" s="26"/>
      <c r="G33" s="27">
        <v>1282.2962500000001</v>
      </c>
      <c r="H33" s="27" t="str">
        <f t="shared" si="0"/>
        <v/>
      </c>
      <c r="I33" s="27">
        <v>1282.2962500000001</v>
      </c>
      <c r="J33" s="27" t="str">
        <f t="shared" si="1"/>
        <v/>
      </c>
      <c r="K33" s="28">
        <f t="shared" si="2"/>
        <v>0</v>
      </c>
      <c r="L33" s="27" t="str">
        <f t="shared" si="3"/>
        <v/>
      </c>
      <c r="M33" s="27" t="str">
        <f t="shared" si="4"/>
        <v/>
      </c>
      <c r="N33" s="27">
        <v>0</v>
      </c>
      <c r="O33" s="27" t="str">
        <f t="shared" si="5"/>
        <v/>
      </c>
      <c r="P33" s="29">
        <v>0.17199999999999999</v>
      </c>
      <c r="Q33" s="30">
        <f t="shared" si="6"/>
        <v>7.4923199999999994</v>
      </c>
      <c r="R33" s="30" t="str">
        <f>IF(AND(TRIM(Q33)&lt;&gt;"",TRIM(F33)&lt;&gt;""),(F33*176)/Q33,"")</f>
        <v/>
      </c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27">
        <f t="shared" si="7"/>
        <v>0</v>
      </c>
      <c r="AF33" s="25"/>
      <c r="AH33" s="71"/>
      <c r="AI33" s="71"/>
      <c r="AJ33" s="72"/>
      <c r="AK33" s="71"/>
      <c r="AL33" s="73"/>
      <c r="AM33" s="74"/>
    </row>
    <row r="34" spans="2:39" x14ac:dyDescent="0.2">
      <c r="B34" s="24">
        <v>1</v>
      </c>
      <c r="C34" s="25" t="s">
        <v>22</v>
      </c>
      <c r="D34" s="25" t="s">
        <v>23</v>
      </c>
      <c r="E34" s="25" t="s">
        <v>16</v>
      </c>
      <c r="F34" s="26"/>
      <c r="G34" s="27">
        <v>426.06975</v>
      </c>
      <c r="H34" s="27" t="str">
        <f t="shared" si="0"/>
        <v/>
      </c>
      <c r="I34" s="27">
        <v>426.06975</v>
      </c>
      <c r="J34" s="27" t="str">
        <f t="shared" si="1"/>
        <v/>
      </c>
      <c r="K34" s="28">
        <f t="shared" ca="1" si="2"/>
        <v>0</v>
      </c>
      <c r="L34" s="27" t="str">
        <f t="shared" si="3"/>
        <v/>
      </c>
      <c r="M34" s="27" t="str">
        <f t="shared" si="4"/>
        <v/>
      </c>
      <c r="N34" s="27">
        <v>417</v>
      </c>
      <c r="O34" s="27" t="str">
        <f t="shared" si="5"/>
        <v/>
      </c>
      <c r="P34" s="29">
        <v>1</v>
      </c>
      <c r="Q34" s="30">
        <f t="shared" si="6"/>
        <v>43.56</v>
      </c>
      <c r="R34" s="30" t="str">
        <f>IF(AND(TRIM(Q34)&lt;&gt;"",TRIM(F34)&lt;&gt;""),(F34*319.999849189052)/Q34,"")</f>
        <v/>
      </c>
      <c r="S34" s="31" t="str">
        <f ca="1">IF(AND(F34 &lt;&gt;"",F34&gt;0), IFERROR(VLOOKUP(F34,INDIRECT(AF34),3,TRUE),0), "")</f>
        <v/>
      </c>
      <c r="T34" s="31"/>
      <c r="U34" s="31"/>
      <c r="V34" s="31"/>
      <c r="W34" s="31"/>
      <c r="X34" s="31"/>
      <c r="Y34" s="31"/>
      <c r="Z34" s="31" t="str">
        <f>IF(AND(B34 = 1, F34 &lt;&gt;""), Z75,"")</f>
        <v/>
      </c>
      <c r="AA34" s="31" t="str">
        <f>IF(F34 = "", "", IF(AND(AND(F34 &gt;= 2, F34 &lt;= 999999), AND(SUM(F31:F32) &gt;= 6, SUM(F31:F32) &lt; 999999)), 0.05035971223,""))</f>
        <v/>
      </c>
      <c r="AB34" s="31"/>
      <c r="AC34" s="31"/>
      <c r="AD34" s="31">
        <v>1</v>
      </c>
      <c r="AE34" s="27">
        <f t="shared" si="7"/>
        <v>0</v>
      </c>
      <c r="AF34" s="25" t="s">
        <v>119</v>
      </c>
      <c r="AH34" s="75"/>
      <c r="AI34" s="75"/>
      <c r="AJ34" s="76"/>
      <c r="AK34" s="75"/>
      <c r="AL34" s="77"/>
      <c r="AM34" s="78"/>
    </row>
    <row r="35" spans="2:39" x14ac:dyDescent="0.2">
      <c r="B35" s="24">
        <v>1</v>
      </c>
      <c r="C35" s="25" t="s">
        <v>120</v>
      </c>
      <c r="D35" s="25" t="s">
        <v>121</v>
      </c>
      <c r="E35" s="25" t="s">
        <v>122</v>
      </c>
      <c r="F35" s="26"/>
      <c r="G35" s="27">
        <v>639.92202499999996</v>
      </c>
      <c r="H35" s="27" t="str">
        <f t="shared" si="0"/>
        <v/>
      </c>
      <c r="I35" s="27">
        <v>639.92202499999996</v>
      </c>
      <c r="J35" s="27" t="str">
        <f t="shared" si="1"/>
        <v/>
      </c>
      <c r="K35" s="28">
        <f t="shared" si="2"/>
        <v>0</v>
      </c>
      <c r="L35" s="27" t="str">
        <f t="shared" si="3"/>
        <v/>
      </c>
      <c r="M35" s="27" t="str">
        <f t="shared" si="4"/>
        <v/>
      </c>
      <c r="N35" s="27">
        <v>626.29999999999995</v>
      </c>
      <c r="O35" s="27" t="str">
        <f t="shared" si="5"/>
        <v/>
      </c>
      <c r="P35" s="29">
        <v>0.4</v>
      </c>
      <c r="Q35" s="30">
        <f t="shared" si="6"/>
        <v>17.424000000000003</v>
      </c>
      <c r="R35" s="30" t="str">
        <f>IF(AND(TRIM(Q35)&lt;&gt;"",TRIM(F35)&lt;&gt;""),(F35*87)/Q35,"")</f>
        <v/>
      </c>
      <c r="S35" s="31"/>
      <c r="T35" s="31"/>
      <c r="U35" s="31"/>
      <c r="V35" s="31"/>
      <c r="W35" s="31"/>
      <c r="X35" s="31"/>
      <c r="Y35" s="31"/>
      <c r="Z35" s="31" t="str">
        <f>IF(AND(B35 = 1, F35 &lt;&gt;""), Z75,"")</f>
        <v/>
      </c>
      <c r="AA35" s="31"/>
      <c r="AB35" s="31"/>
      <c r="AC35" s="31"/>
      <c r="AD35" s="31">
        <v>1</v>
      </c>
      <c r="AE35" s="27">
        <f t="shared" si="7"/>
        <v>0</v>
      </c>
      <c r="AF35" s="25"/>
      <c r="AH35" s="75"/>
      <c r="AI35" s="75"/>
      <c r="AJ35" s="76"/>
      <c r="AK35" s="75"/>
      <c r="AL35" s="77"/>
      <c r="AM35" s="78"/>
    </row>
    <row r="36" spans="2:39" x14ac:dyDescent="0.2">
      <c r="B36" s="24"/>
      <c r="C36" s="25" t="s">
        <v>123</v>
      </c>
      <c r="D36" s="25" t="s">
        <v>124</v>
      </c>
      <c r="E36" s="25" t="s">
        <v>16</v>
      </c>
      <c r="F36" s="26"/>
      <c r="G36" s="27">
        <v>457.53964999999999</v>
      </c>
      <c r="H36" s="27" t="str">
        <f t="shared" si="0"/>
        <v/>
      </c>
      <c r="I36" s="27">
        <v>457.53964999999999</v>
      </c>
      <c r="J36" s="27" t="str">
        <f t="shared" si="1"/>
        <v/>
      </c>
      <c r="K36" s="28">
        <f t="shared" si="2"/>
        <v>0</v>
      </c>
      <c r="L36" s="27" t="str">
        <f t="shared" si="3"/>
        <v/>
      </c>
      <c r="M36" s="27" t="str">
        <f t="shared" si="4"/>
        <v/>
      </c>
      <c r="N36" s="27">
        <v>0</v>
      </c>
      <c r="O36" s="27" t="str">
        <f t="shared" si="5"/>
        <v/>
      </c>
      <c r="P36" s="29">
        <v>2.33</v>
      </c>
      <c r="Q36" s="30">
        <f t="shared" si="6"/>
        <v>101.49480000000001</v>
      </c>
      <c r="R36" s="30" t="str">
        <f>IF(AND(TRIM(Q36)&lt;&gt;"",TRIM(F36)&lt;&gt;""),(F36*319.999849189052)/Q36,"")</f>
        <v/>
      </c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27">
        <f t="shared" si="7"/>
        <v>0</v>
      </c>
      <c r="AF36" s="25"/>
      <c r="AH36" s="63"/>
      <c r="AI36" s="63"/>
      <c r="AJ36" s="64"/>
      <c r="AK36" s="63"/>
      <c r="AL36" s="65"/>
      <c r="AM36" s="66"/>
    </row>
    <row r="37" spans="2:39" ht="27" x14ac:dyDescent="0.2">
      <c r="B37" s="24"/>
      <c r="C37" s="25" t="s">
        <v>123</v>
      </c>
      <c r="D37" s="25" t="s">
        <v>126</v>
      </c>
      <c r="E37" s="25" t="s">
        <v>16</v>
      </c>
      <c r="F37" s="26"/>
      <c r="G37" s="27">
        <v>457.53964999999999</v>
      </c>
      <c r="H37" s="27" t="str">
        <f t="shared" si="0"/>
        <v/>
      </c>
      <c r="I37" s="27">
        <v>383.65690749999999</v>
      </c>
      <c r="J37" s="27" t="str">
        <f t="shared" si="1"/>
        <v/>
      </c>
      <c r="K37" s="28">
        <f t="shared" si="2"/>
        <v>0</v>
      </c>
      <c r="L37" s="27" t="str">
        <f t="shared" si="3"/>
        <v/>
      </c>
      <c r="M37" s="27" t="str">
        <f t="shared" si="4"/>
        <v/>
      </c>
      <c r="N37" s="27">
        <v>0</v>
      </c>
      <c r="O37" s="27" t="str">
        <f t="shared" si="5"/>
        <v/>
      </c>
      <c r="P37" s="29">
        <v>2.33</v>
      </c>
      <c r="Q37" s="30">
        <f t="shared" si="6"/>
        <v>101.49480000000001</v>
      </c>
      <c r="R37" s="30" t="str">
        <f>IF(AND(TRIM(Q37)&lt;&gt;"",TRIM(F37)&lt;&gt;""),(F37*319.999849189052)/Q37,"")</f>
        <v/>
      </c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27">
        <f t="shared" si="7"/>
        <v>0</v>
      </c>
      <c r="AF37" s="25"/>
      <c r="AH37" s="32" t="s">
        <v>87</v>
      </c>
      <c r="AI37" s="33" t="s">
        <v>50</v>
      </c>
      <c r="AJ37" s="34" t="s">
        <v>51</v>
      </c>
      <c r="AK37" s="33" t="s">
        <v>88</v>
      </c>
      <c r="AL37" s="35" t="s">
        <v>60</v>
      </c>
      <c r="AM37" s="36" t="s">
        <v>89</v>
      </c>
    </row>
    <row r="38" spans="2:39" x14ac:dyDescent="0.2">
      <c r="B38" s="24"/>
      <c r="C38" s="25" t="s">
        <v>123</v>
      </c>
      <c r="D38" s="25" t="s">
        <v>128</v>
      </c>
      <c r="E38" s="25" t="s">
        <v>16</v>
      </c>
      <c r="F38" s="26"/>
      <c r="G38" s="27">
        <v>457.53964999999999</v>
      </c>
      <c r="H38" s="27" t="str">
        <f t="shared" si="0"/>
        <v/>
      </c>
      <c r="I38" s="27">
        <v>332.76353999999998</v>
      </c>
      <c r="J38" s="27" t="str">
        <f t="shared" si="1"/>
        <v/>
      </c>
      <c r="K38" s="28">
        <f t="shared" si="2"/>
        <v>0</v>
      </c>
      <c r="L38" s="27" t="str">
        <f t="shared" si="3"/>
        <v/>
      </c>
      <c r="M38" s="27" t="str">
        <f t="shared" si="4"/>
        <v/>
      </c>
      <c r="N38" s="27">
        <v>0</v>
      </c>
      <c r="O38" s="27" t="str">
        <f t="shared" si="5"/>
        <v/>
      </c>
      <c r="P38" s="29">
        <v>2.33</v>
      </c>
      <c r="Q38" s="30">
        <f t="shared" si="6"/>
        <v>101.49480000000001</v>
      </c>
      <c r="R38" s="30" t="str">
        <f>IF(AND(TRIM(Q38)&lt;&gt;"",TRIM(F38)&lt;&gt;""),(F38*319.999849189052)/Q38,"")</f>
        <v/>
      </c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27">
        <f t="shared" si="7"/>
        <v>0</v>
      </c>
      <c r="AF38" s="25"/>
      <c r="AH38" s="37" t="s">
        <v>170</v>
      </c>
      <c r="AI38" s="38" t="s">
        <v>16</v>
      </c>
      <c r="AJ38" s="39">
        <v>4</v>
      </c>
      <c r="AK38" s="24" t="s">
        <v>171</v>
      </c>
      <c r="AL38" s="40">
        <v>2</v>
      </c>
      <c r="AM38" s="30">
        <v>14.692371404456001</v>
      </c>
    </row>
    <row r="39" spans="2:39" x14ac:dyDescent="0.2">
      <c r="B39" s="24">
        <v>1</v>
      </c>
      <c r="C39" s="25" t="s">
        <v>132</v>
      </c>
      <c r="D39" s="25" t="s">
        <v>133</v>
      </c>
      <c r="E39" s="25" t="s">
        <v>134</v>
      </c>
      <c r="F39" s="26"/>
      <c r="G39" s="27">
        <v>1767.6275000000001</v>
      </c>
      <c r="H39" s="27" t="str">
        <f t="shared" si="0"/>
        <v/>
      </c>
      <c r="I39" s="27">
        <v>1767.6275000000001</v>
      </c>
      <c r="J39" s="27" t="str">
        <f t="shared" si="1"/>
        <v/>
      </c>
      <c r="K39" s="28">
        <f t="shared" si="2"/>
        <v>0</v>
      </c>
      <c r="L39" s="27" t="str">
        <f t="shared" si="3"/>
        <v/>
      </c>
      <c r="M39" s="27" t="str">
        <f t="shared" si="4"/>
        <v/>
      </c>
      <c r="N39" s="27">
        <v>1730</v>
      </c>
      <c r="O39" s="27" t="str">
        <f t="shared" si="5"/>
        <v/>
      </c>
      <c r="P39" s="29">
        <v>0.13800000000000001</v>
      </c>
      <c r="Q39" s="30">
        <f t="shared" si="6"/>
        <v>6.0112800000000011</v>
      </c>
      <c r="R39" s="30" t="str">
        <f>IF(AND(TRIM(Q39)&lt;&gt;"",TRIM(F39)&lt;&gt;""),(F39*127.999939675621)/Q39,"")</f>
        <v/>
      </c>
      <c r="S39" s="31"/>
      <c r="T39" s="31"/>
      <c r="U39" s="31"/>
      <c r="V39" s="31"/>
      <c r="W39" s="31"/>
      <c r="X39" s="31"/>
      <c r="Y39" s="31"/>
      <c r="Z39" s="31" t="str">
        <f>IF(AND(B39 = 1, AND(F39 &lt;&gt;"", F39 &lt; 1)), Z75,"")</f>
        <v/>
      </c>
      <c r="AA39" s="31"/>
      <c r="AB39" s="31"/>
      <c r="AC39" s="31"/>
      <c r="AD39" s="31">
        <v>1</v>
      </c>
      <c r="AE39" s="27">
        <f t="shared" si="7"/>
        <v>0</v>
      </c>
      <c r="AF39" s="25"/>
      <c r="AH39" s="37" t="s">
        <v>174</v>
      </c>
      <c r="AI39" s="38" t="s">
        <v>92</v>
      </c>
      <c r="AJ39" s="39">
        <v>3</v>
      </c>
      <c r="AK39" s="24" t="s">
        <v>175</v>
      </c>
      <c r="AL39" s="40">
        <v>4</v>
      </c>
      <c r="AM39" s="30">
        <v>12.1212121041748</v>
      </c>
    </row>
    <row r="40" spans="2:39" ht="27" x14ac:dyDescent="0.2">
      <c r="B40" s="24">
        <v>1</v>
      </c>
      <c r="C40" s="25" t="s">
        <v>132</v>
      </c>
      <c r="D40" s="25" t="s">
        <v>135</v>
      </c>
      <c r="E40" s="25" t="s">
        <v>134</v>
      </c>
      <c r="F40" s="26"/>
      <c r="G40" s="27">
        <v>1767.6275000000001</v>
      </c>
      <c r="H40" s="27" t="str">
        <f t="shared" si="0"/>
        <v/>
      </c>
      <c r="I40" s="27">
        <v>1716.54</v>
      </c>
      <c r="J40" s="27" t="str">
        <f t="shared" si="1"/>
        <v/>
      </c>
      <c r="K40" s="28">
        <f t="shared" si="2"/>
        <v>0</v>
      </c>
      <c r="L40" s="27" t="str">
        <f t="shared" si="3"/>
        <v/>
      </c>
      <c r="M40" s="27" t="str">
        <f t="shared" si="4"/>
        <v/>
      </c>
      <c r="N40" s="27">
        <v>1680</v>
      </c>
      <c r="O40" s="27" t="str">
        <f t="shared" si="5"/>
        <v/>
      </c>
      <c r="P40" s="29">
        <v>0.13800000000000001</v>
      </c>
      <c r="Q40" s="30">
        <f t="shared" si="6"/>
        <v>6.0112800000000011</v>
      </c>
      <c r="R40" s="30" t="str">
        <f>IF(AND(TRIM(Q40)&lt;&gt;"",TRIM(F40)&lt;&gt;""),(F40*127.999939675621)/Q40,"")</f>
        <v/>
      </c>
      <c r="S40" s="31"/>
      <c r="T40" s="31"/>
      <c r="U40" s="31"/>
      <c r="V40" s="31"/>
      <c r="W40" s="31"/>
      <c r="X40" s="31"/>
      <c r="Y40" s="31"/>
      <c r="Z40" s="31" t="str">
        <f>IF(AND(B40 = 1, AND(F40 &lt;&gt;"", F40 &lt; 1)), Z75,"")</f>
        <v/>
      </c>
      <c r="AA40" s="31"/>
      <c r="AB40" s="31"/>
      <c r="AC40" s="31"/>
      <c r="AD40" s="31">
        <v>1</v>
      </c>
      <c r="AE40" s="27">
        <f t="shared" si="7"/>
        <v>0</v>
      </c>
      <c r="AF40" s="25"/>
      <c r="AH40" s="32" t="s">
        <v>102</v>
      </c>
      <c r="AI40" s="33" t="s">
        <v>50</v>
      </c>
      <c r="AJ40" s="34" t="s">
        <v>51</v>
      </c>
      <c r="AK40" s="33" t="s">
        <v>88</v>
      </c>
      <c r="AL40" s="35" t="s">
        <v>60</v>
      </c>
      <c r="AM40" s="36" t="s">
        <v>89</v>
      </c>
    </row>
    <row r="41" spans="2:39" x14ac:dyDescent="0.2">
      <c r="B41" s="24">
        <v>1</v>
      </c>
      <c r="C41" s="25" t="s">
        <v>132</v>
      </c>
      <c r="D41" s="25" t="s">
        <v>137</v>
      </c>
      <c r="E41" s="25" t="s">
        <v>134</v>
      </c>
      <c r="F41" s="26"/>
      <c r="G41" s="27">
        <v>1767.6275000000001</v>
      </c>
      <c r="H41" s="27" t="str">
        <f t="shared" si="0"/>
        <v/>
      </c>
      <c r="I41" s="27">
        <v>1517.2987499999999</v>
      </c>
      <c r="J41" s="27" t="str">
        <f t="shared" si="1"/>
        <v/>
      </c>
      <c r="K41" s="28">
        <f t="shared" si="2"/>
        <v>0</v>
      </c>
      <c r="L41" s="27" t="str">
        <f t="shared" si="3"/>
        <v/>
      </c>
      <c r="M41" s="27" t="str">
        <f t="shared" si="4"/>
        <v/>
      </c>
      <c r="N41" s="27">
        <v>1485</v>
      </c>
      <c r="O41" s="27" t="str">
        <f t="shared" si="5"/>
        <v/>
      </c>
      <c r="P41" s="29">
        <v>0.13800000000000001</v>
      </c>
      <c r="Q41" s="30">
        <f t="shared" si="6"/>
        <v>6.0112800000000011</v>
      </c>
      <c r="R41" s="30" t="str">
        <f>IF(AND(TRIM(Q41)&lt;&gt;"",TRIM(F41)&lt;&gt;""),(F41*127.999939675621)/Q41,"")</f>
        <v/>
      </c>
      <c r="S41" s="31"/>
      <c r="T41" s="31"/>
      <c r="U41" s="31"/>
      <c r="V41" s="31"/>
      <c r="W41" s="31"/>
      <c r="X41" s="31"/>
      <c r="Y41" s="31"/>
      <c r="Z41" s="31" t="str">
        <f>IF(AND(B41 = 1, AND(F41 &lt;&gt;"", F41 &lt; 1)), Z75,"")</f>
        <v/>
      </c>
      <c r="AA41" s="31"/>
      <c r="AB41" s="31"/>
      <c r="AC41" s="31"/>
      <c r="AD41" s="31">
        <v>1</v>
      </c>
      <c r="AE41" s="27">
        <f t="shared" si="7"/>
        <v>0</v>
      </c>
      <c r="AF41" s="25"/>
      <c r="AH41" s="67" t="s">
        <v>105</v>
      </c>
      <c r="AI41" s="67"/>
      <c r="AJ41" s="68"/>
      <c r="AK41" s="67"/>
      <c r="AL41" s="69"/>
      <c r="AM41" s="70"/>
    </row>
    <row r="42" spans="2:39" x14ac:dyDescent="0.2">
      <c r="B42" s="24">
        <v>1</v>
      </c>
      <c r="C42" s="25" t="s">
        <v>132</v>
      </c>
      <c r="D42" s="25" t="s">
        <v>138</v>
      </c>
      <c r="E42" s="25" t="s">
        <v>134</v>
      </c>
      <c r="F42" s="26"/>
      <c r="G42" s="27">
        <v>1767.6275000000001</v>
      </c>
      <c r="H42" s="27" t="str">
        <f t="shared" si="0"/>
        <v/>
      </c>
      <c r="I42" s="27">
        <v>1466.2112500000001</v>
      </c>
      <c r="J42" s="27" t="str">
        <f t="shared" si="1"/>
        <v/>
      </c>
      <c r="K42" s="28">
        <f t="shared" si="2"/>
        <v>0</v>
      </c>
      <c r="L42" s="27" t="str">
        <f t="shared" si="3"/>
        <v/>
      </c>
      <c r="M42" s="27" t="str">
        <f t="shared" si="4"/>
        <v/>
      </c>
      <c r="N42" s="27">
        <v>1435</v>
      </c>
      <c r="O42" s="27" t="str">
        <f t="shared" si="5"/>
        <v/>
      </c>
      <c r="P42" s="29">
        <v>0.13800000000000001</v>
      </c>
      <c r="Q42" s="30">
        <f t="shared" si="6"/>
        <v>6.0112800000000011</v>
      </c>
      <c r="R42" s="30" t="str">
        <f>IF(AND(TRIM(Q42)&lt;&gt;"",TRIM(F42)&lt;&gt;""),(F42*127.999939675621)/Q42,"")</f>
        <v/>
      </c>
      <c r="S42" s="31"/>
      <c r="T42" s="31"/>
      <c r="U42" s="31"/>
      <c r="V42" s="31"/>
      <c r="W42" s="31"/>
      <c r="X42" s="31"/>
      <c r="Y42" s="31"/>
      <c r="Z42" s="31" t="str">
        <f>IF(AND(B42 = 1, AND(F42 &lt;&gt;"", F42 &lt; 1)), Z75,"")</f>
        <v/>
      </c>
      <c r="AA42" s="31"/>
      <c r="AB42" s="31"/>
      <c r="AC42" s="31"/>
      <c r="AD42" s="31">
        <v>1</v>
      </c>
      <c r="AE42" s="27">
        <f t="shared" si="7"/>
        <v>0</v>
      </c>
      <c r="AF42" s="25"/>
    </row>
    <row r="43" spans="2:39" x14ac:dyDescent="0.2">
      <c r="B43" s="24"/>
      <c r="C43" s="25" t="s">
        <v>139</v>
      </c>
      <c r="D43" s="25" t="s">
        <v>140</v>
      </c>
      <c r="E43" s="25" t="s">
        <v>141</v>
      </c>
      <c r="F43" s="26"/>
      <c r="G43" s="27">
        <v>259.77993750000002</v>
      </c>
      <c r="H43" s="27" t="str">
        <f t="shared" si="0"/>
        <v/>
      </c>
      <c r="I43" s="27">
        <v>259.77993750000002</v>
      </c>
      <c r="J43" s="27" t="str">
        <f t="shared" si="1"/>
        <v/>
      </c>
      <c r="K43" s="28">
        <f t="shared" si="2"/>
        <v>0</v>
      </c>
      <c r="L43" s="27" t="str">
        <f t="shared" si="3"/>
        <v/>
      </c>
      <c r="M43" s="27" t="str">
        <f t="shared" si="4"/>
        <v/>
      </c>
      <c r="N43" s="27">
        <v>0</v>
      </c>
      <c r="O43" s="27" t="str">
        <f t="shared" si="5"/>
        <v/>
      </c>
      <c r="P43" s="29">
        <v>0.15</v>
      </c>
      <c r="Q43" s="30">
        <f t="shared" si="6"/>
        <v>6.5339999999999998</v>
      </c>
      <c r="R43" s="30" t="str">
        <f>IF(AND(TRIM(Q43)&lt;&gt;"",TRIM(F43)&lt;&gt;""),(F43*18)/Q43,"")</f>
        <v/>
      </c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27">
        <f t="shared" si="7"/>
        <v>0</v>
      </c>
      <c r="AF43" s="25"/>
    </row>
    <row r="44" spans="2:39" x14ac:dyDescent="0.2">
      <c r="B44" s="24">
        <v>1</v>
      </c>
      <c r="C44" s="25" t="s">
        <v>30</v>
      </c>
      <c r="D44" s="25" t="s">
        <v>31</v>
      </c>
      <c r="E44" s="25" t="s">
        <v>32</v>
      </c>
      <c r="F44" s="26"/>
      <c r="G44" s="27">
        <v>103.19674999999999</v>
      </c>
      <c r="H44" s="27" t="str">
        <f t="shared" si="0"/>
        <v/>
      </c>
      <c r="I44" s="27">
        <v>103.19674999999999</v>
      </c>
      <c r="J44" s="27" t="str">
        <f t="shared" si="1"/>
        <v/>
      </c>
      <c r="K44" s="28">
        <f t="shared" ca="1" si="2"/>
        <v>0</v>
      </c>
      <c r="L44" s="27" t="str">
        <f t="shared" si="3"/>
        <v/>
      </c>
      <c r="M44" s="27" t="str">
        <f t="shared" si="4"/>
        <v/>
      </c>
      <c r="N44" s="27">
        <v>101</v>
      </c>
      <c r="O44" s="27" t="str">
        <f t="shared" si="5"/>
        <v/>
      </c>
      <c r="P44" s="29">
        <v>3.45</v>
      </c>
      <c r="Q44" s="30">
        <f t="shared" si="6"/>
        <v>150.28200000000001</v>
      </c>
      <c r="R44" s="30" t="str">
        <f>IF(AND(TRIM(Q44)&lt;&gt;"",TRIM(F44)&lt;&gt;""),(F44*50)/Q44,"")</f>
        <v/>
      </c>
      <c r="S44" s="31" t="str">
        <f ca="1">IF(AND(F44 &lt;&gt;"",F44&gt;0), IFERROR(VLOOKUP(F44,INDIRECT(AF44),3,TRUE),0), "")</f>
        <v/>
      </c>
      <c r="T44" s="31"/>
      <c r="U44" s="31"/>
      <c r="V44" s="31"/>
      <c r="W44" s="31"/>
      <c r="X44" s="31"/>
      <c r="Y44" s="31"/>
      <c r="Z44" s="31" t="str">
        <f>IF(AND(B44 = 1, F44 &lt;&gt;""), Z75,"")</f>
        <v/>
      </c>
      <c r="AA44" s="31"/>
      <c r="AB44" s="31"/>
      <c r="AC44" s="31"/>
      <c r="AD44" s="31">
        <v>1</v>
      </c>
      <c r="AE44" s="27">
        <f t="shared" si="7"/>
        <v>0</v>
      </c>
      <c r="AF44" s="25" t="s">
        <v>142</v>
      </c>
      <c r="AH44" s="71" t="s">
        <v>222</v>
      </c>
      <c r="AI44" s="71"/>
      <c r="AJ44" s="72"/>
      <c r="AK44" s="71"/>
      <c r="AL44" s="73"/>
      <c r="AM44" s="74"/>
    </row>
    <row r="45" spans="2:39" x14ac:dyDescent="0.2">
      <c r="B45" s="24"/>
      <c r="C45" s="25" t="s">
        <v>143</v>
      </c>
      <c r="D45" s="25" t="s">
        <v>144</v>
      </c>
      <c r="E45" s="25" t="s">
        <v>16</v>
      </c>
      <c r="F45" s="26"/>
      <c r="G45" s="27">
        <v>868.48749999999995</v>
      </c>
      <c r="H45" s="27" t="str">
        <f t="shared" si="0"/>
        <v/>
      </c>
      <c r="I45" s="27">
        <v>868.48749999999995</v>
      </c>
      <c r="J45" s="27" t="str">
        <f t="shared" si="1"/>
        <v/>
      </c>
      <c r="K45" s="28">
        <f t="shared" si="2"/>
        <v>0</v>
      </c>
      <c r="L45" s="27" t="str">
        <f t="shared" si="3"/>
        <v/>
      </c>
      <c r="M45" s="27" t="str">
        <f t="shared" si="4"/>
        <v/>
      </c>
      <c r="N45" s="27">
        <v>0</v>
      </c>
      <c r="O45" s="27" t="str">
        <f t="shared" si="5"/>
        <v/>
      </c>
      <c r="P45" s="29">
        <v>2</v>
      </c>
      <c r="Q45" s="30">
        <f t="shared" si="6"/>
        <v>87.12</v>
      </c>
      <c r="R45" s="30" t="str">
        <f>IF(AND(TRIM(Q45)&lt;&gt;"",TRIM(F45)&lt;&gt;""),(F45*319.999849189052)/Q45,"")</f>
        <v/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27">
        <f t="shared" si="7"/>
        <v>0</v>
      </c>
      <c r="AF45" s="25"/>
      <c r="AH45" s="71"/>
      <c r="AI45" s="71"/>
      <c r="AJ45" s="72"/>
      <c r="AK45" s="71"/>
      <c r="AL45" s="73"/>
      <c r="AM45" s="74"/>
    </row>
    <row r="46" spans="2:39" x14ac:dyDescent="0.2">
      <c r="B46" s="24"/>
      <c r="C46" s="25" t="s">
        <v>143</v>
      </c>
      <c r="D46" s="25" t="s">
        <v>145</v>
      </c>
      <c r="E46" s="25" t="s">
        <v>16</v>
      </c>
      <c r="F46" s="26"/>
      <c r="G46" s="27">
        <v>868.48749999999995</v>
      </c>
      <c r="H46" s="27" t="str">
        <f t="shared" si="0"/>
        <v/>
      </c>
      <c r="I46" s="27">
        <v>791.85625000000005</v>
      </c>
      <c r="J46" s="27" t="str">
        <f t="shared" si="1"/>
        <v/>
      </c>
      <c r="K46" s="28">
        <f t="shared" si="2"/>
        <v>0</v>
      </c>
      <c r="L46" s="27" t="str">
        <f t="shared" si="3"/>
        <v/>
      </c>
      <c r="M46" s="27" t="str">
        <f t="shared" si="4"/>
        <v/>
      </c>
      <c r="N46" s="27">
        <v>0</v>
      </c>
      <c r="O46" s="27" t="str">
        <f t="shared" si="5"/>
        <v/>
      </c>
      <c r="P46" s="29">
        <v>2</v>
      </c>
      <c r="Q46" s="30">
        <f t="shared" si="6"/>
        <v>87.12</v>
      </c>
      <c r="R46" s="30" t="str">
        <f>IF(AND(TRIM(Q46)&lt;&gt;"",TRIM(F46)&lt;&gt;""),(F46*319.999849189052)/Q46,"")</f>
        <v/>
      </c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27">
        <f t="shared" si="7"/>
        <v>0</v>
      </c>
      <c r="AF46" s="25"/>
      <c r="AH46" s="75"/>
      <c r="AI46" s="75"/>
      <c r="AJ46" s="76"/>
      <c r="AK46" s="75"/>
      <c r="AL46" s="77"/>
      <c r="AM46" s="78"/>
    </row>
    <row r="47" spans="2:39" x14ac:dyDescent="0.2">
      <c r="B47" s="24"/>
      <c r="C47" s="25" t="s">
        <v>153</v>
      </c>
      <c r="D47" s="25" t="s">
        <v>154</v>
      </c>
      <c r="E47" s="25" t="s">
        <v>32</v>
      </c>
      <c r="F47" s="26"/>
      <c r="G47" s="27">
        <v>68.968125000000001</v>
      </c>
      <c r="H47" s="27" t="str">
        <f t="shared" si="0"/>
        <v/>
      </c>
      <c r="I47" s="27">
        <v>68.968125000000001</v>
      </c>
      <c r="J47" s="27" t="str">
        <f t="shared" si="1"/>
        <v/>
      </c>
      <c r="K47" s="28">
        <f t="shared" si="2"/>
        <v>0</v>
      </c>
      <c r="L47" s="27" t="str">
        <f t="shared" si="3"/>
        <v/>
      </c>
      <c r="M47" s="27" t="str">
        <f t="shared" si="4"/>
        <v/>
      </c>
      <c r="N47" s="27">
        <v>0</v>
      </c>
      <c r="O47" s="27" t="str">
        <f t="shared" si="5"/>
        <v/>
      </c>
      <c r="P47" s="29">
        <v>2</v>
      </c>
      <c r="Q47" s="30">
        <f t="shared" si="6"/>
        <v>87.12</v>
      </c>
      <c r="R47" s="30" t="str">
        <f>IF(AND(TRIM(Q47)&lt;&gt;"",TRIM(F47)&lt;&gt;""),(F47*50)/Q47,"")</f>
        <v/>
      </c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27">
        <f t="shared" si="7"/>
        <v>0</v>
      </c>
      <c r="AF47" s="25"/>
      <c r="AH47" s="75"/>
      <c r="AI47" s="75"/>
      <c r="AJ47" s="76"/>
      <c r="AK47" s="75"/>
      <c r="AL47" s="77"/>
      <c r="AM47" s="78"/>
    </row>
    <row r="48" spans="2:39" x14ac:dyDescent="0.2">
      <c r="B48" s="24">
        <v>1</v>
      </c>
      <c r="C48" s="25" t="s">
        <v>155</v>
      </c>
      <c r="D48" s="25" t="s">
        <v>156</v>
      </c>
      <c r="E48" s="25" t="s">
        <v>151</v>
      </c>
      <c r="F48" s="26"/>
      <c r="G48" s="27">
        <v>380.70405</v>
      </c>
      <c r="H48" s="27" t="str">
        <f t="shared" si="0"/>
        <v/>
      </c>
      <c r="I48" s="27">
        <v>380.70405</v>
      </c>
      <c r="J48" s="27" t="str">
        <f t="shared" si="1"/>
        <v/>
      </c>
      <c r="K48" s="28">
        <f t="shared" si="2"/>
        <v>0</v>
      </c>
      <c r="L48" s="27" t="str">
        <f t="shared" si="3"/>
        <v/>
      </c>
      <c r="M48" s="27" t="str">
        <f t="shared" si="4"/>
        <v/>
      </c>
      <c r="N48" s="27">
        <v>372.6</v>
      </c>
      <c r="O48" s="27" t="str">
        <f t="shared" si="5"/>
        <v/>
      </c>
      <c r="P48" s="29">
        <v>2.3E-2</v>
      </c>
      <c r="Q48" s="30">
        <f t="shared" si="6"/>
        <v>1.0018800000000001</v>
      </c>
      <c r="R48" s="30" t="str">
        <f>IF(AND(TRIM(Q48)&lt;&gt;"",TRIM(F48)&lt;&gt;""),(F48*6)/Q48,"")</f>
        <v/>
      </c>
      <c r="S48" s="31"/>
      <c r="T48" s="31"/>
      <c r="U48" s="31"/>
      <c r="V48" s="31"/>
      <c r="W48" s="31"/>
      <c r="X48" s="31"/>
      <c r="Y48" s="31"/>
      <c r="Z48" s="31" t="str">
        <f>IF(AND(B48 = 1, F48 &lt;&gt;""), Z75,"")</f>
        <v/>
      </c>
      <c r="AA48" s="31" t="str">
        <f>IF(F48 = "", "", IF(AND(AND(F48 &gt;= 6, F48 &lt;= 999999), AND(SUM(F39:F42) &gt;= 2, SUM(F39:F42) &lt; 999999)), 0.120772946859,""))</f>
        <v/>
      </c>
      <c r="AB48" s="31"/>
      <c r="AC48" s="31"/>
      <c r="AD48" s="31">
        <v>1</v>
      </c>
      <c r="AE48" s="27">
        <f t="shared" si="7"/>
        <v>0</v>
      </c>
      <c r="AF48" s="25"/>
      <c r="AH48" s="63"/>
      <c r="AI48" s="63"/>
      <c r="AJ48" s="64"/>
      <c r="AK48" s="63"/>
      <c r="AL48" s="65"/>
      <c r="AM48" s="66"/>
    </row>
    <row r="49" spans="2:39" ht="27" x14ac:dyDescent="0.2">
      <c r="B49" s="90" t="s">
        <v>157</v>
      </c>
      <c r="C49" s="90"/>
      <c r="D49" s="90"/>
      <c r="E49" s="90"/>
      <c r="F49" s="91"/>
      <c r="G49" s="92"/>
      <c r="H49" s="92"/>
      <c r="I49" s="92"/>
      <c r="J49" s="92"/>
      <c r="K49" s="93"/>
      <c r="L49" s="92"/>
      <c r="M49" s="92"/>
      <c r="N49" s="92"/>
      <c r="O49" s="92"/>
      <c r="P49" s="94"/>
      <c r="Q49" s="95"/>
      <c r="R49" s="95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2"/>
      <c r="AF49" s="21"/>
      <c r="AH49" s="32" t="s">
        <v>87</v>
      </c>
      <c r="AI49" s="33" t="s">
        <v>50</v>
      </c>
      <c r="AJ49" s="34" t="s">
        <v>51</v>
      </c>
      <c r="AK49" s="33" t="s">
        <v>88</v>
      </c>
      <c r="AL49" s="35" t="s">
        <v>60</v>
      </c>
      <c r="AM49" s="36" t="s">
        <v>89</v>
      </c>
    </row>
    <row r="50" spans="2:39" x14ac:dyDescent="0.2">
      <c r="B50" s="87" t="s">
        <v>49</v>
      </c>
      <c r="C50" s="97" t="s">
        <v>6</v>
      </c>
      <c r="D50" s="97" t="s">
        <v>7</v>
      </c>
      <c r="E50" s="97" t="s">
        <v>50</v>
      </c>
      <c r="F50" s="142" t="s">
        <v>51</v>
      </c>
      <c r="G50" s="84" t="s">
        <v>52</v>
      </c>
      <c r="H50" s="84" t="s">
        <v>53</v>
      </c>
      <c r="I50" s="101" t="s">
        <v>54</v>
      </c>
      <c r="J50" s="101" t="s">
        <v>55</v>
      </c>
      <c r="K50" s="104" t="s">
        <v>11</v>
      </c>
      <c r="L50" s="84" t="s">
        <v>56</v>
      </c>
      <c r="M50" s="101" t="s">
        <v>57</v>
      </c>
      <c r="N50" s="84" t="s">
        <v>58</v>
      </c>
      <c r="O50" s="84" t="s">
        <v>59</v>
      </c>
      <c r="P50" s="81" t="s">
        <v>60</v>
      </c>
      <c r="Q50" s="110" t="s">
        <v>61</v>
      </c>
      <c r="R50" s="110" t="s">
        <v>62</v>
      </c>
      <c r="S50" s="81" t="s">
        <v>63</v>
      </c>
      <c r="T50" s="81" t="s">
        <v>64</v>
      </c>
      <c r="U50" s="81" t="s">
        <v>65</v>
      </c>
      <c r="V50" s="81" t="s">
        <v>66</v>
      </c>
      <c r="W50" s="81" t="s">
        <v>67</v>
      </c>
      <c r="X50" s="81" t="s">
        <v>68</v>
      </c>
      <c r="Y50" s="81" t="s">
        <v>69</v>
      </c>
      <c r="Z50" s="81" t="s">
        <v>2</v>
      </c>
      <c r="AA50" s="81" t="s">
        <v>70</v>
      </c>
      <c r="AB50" s="81" t="s">
        <v>71</v>
      </c>
      <c r="AC50" s="81" t="s">
        <v>72</v>
      </c>
      <c r="AD50" s="81" t="s">
        <v>73</v>
      </c>
      <c r="AE50" s="84" t="s">
        <v>49</v>
      </c>
      <c r="AF50" s="87" t="s">
        <v>74</v>
      </c>
      <c r="AH50" s="37" t="s">
        <v>232</v>
      </c>
      <c r="AI50" s="38" t="s">
        <v>16</v>
      </c>
      <c r="AJ50" s="39">
        <v>6</v>
      </c>
      <c r="AK50" s="24" t="s">
        <v>233</v>
      </c>
      <c r="AL50" s="40">
        <v>4</v>
      </c>
      <c r="AM50" s="30">
        <v>11.019278553342</v>
      </c>
    </row>
    <row r="51" spans="2:39" x14ac:dyDescent="0.2">
      <c r="B51" s="88"/>
      <c r="C51" s="88"/>
      <c r="D51" s="88"/>
      <c r="E51" s="88"/>
      <c r="F51" s="99"/>
      <c r="G51" s="85"/>
      <c r="H51" s="85"/>
      <c r="I51" s="102"/>
      <c r="J51" s="85"/>
      <c r="K51" s="105"/>
      <c r="L51" s="85"/>
      <c r="M51" s="85"/>
      <c r="N51" s="85"/>
      <c r="O51" s="85"/>
      <c r="P51" s="108"/>
      <c r="Q51" s="111"/>
      <c r="R51" s="111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5"/>
      <c r="AF51" s="88"/>
      <c r="AH51" s="37" t="s">
        <v>234</v>
      </c>
      <c r="AI51" s="38" t="s">
        <v>16</v>
      </c>
      <c r="AJ51" s="39">
        <v>2</v>
      </c>
      <c r="AK51" s="24" t="s">
        <v>235</v>
      </c>
      <c r="AL51" s="40">
        <v>1</v>
      </c>
      <c r="AM51" s="30">
        <v>14.692371404456001</v>
      </c>
    </row>
    <row r="52" spans="2:39" ht="27" x14ac:dyDescent="0.2">
      <c r="B52" s="96"/>
      <c r="C52" s="89"/>
      <c r="D52" s="89"/>
      <c r="E52" s="89"/>
      <c r="F52" s="100"/>
      <c r="G52" s="86"/>
      <c r="H52" s="86"/>
      <c r="I52" s="103"/>
      <c r="J52" s="86"/>
      <c r="K52" s="106"/>
      <c r="L52" s="86"/>
      <c r="M52" s="86"/>
      <c r="N52" s="86"/>
      <c r="O52" s="86"/>
      <c r="P52" s="109"/>
      <c r="Q52" s="112"/>
      <c r="R52" s="112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6"/>
      <c r="AF52" s="89"/>
      <c r="AH52" s="32" t="s">
        <v>102</v>
      </c>
      <c r="AI52" s="33" t="s">
        <v>50</v>
      </c>
      <c r="AJ52" s="34" t="s">
        <v>51</v>
      </c>
      <c r="AK52" s="33" t="s">
        <v>88</v>
      </c>
      <c r="AL52" s="35" t="s">
        <v>60</v>
      </c>
      <c r="AM52" s="36" t="s">
        <v>89</v>
      </c>
    </row>
    <row r="53" spans="2:39" x14ac:dyDescent="0.2">
      <c r="B53" s="24"/>
      <c r="C53" s="25" t="s">
        <v>159</v>
      </c>
      <c r="D53" s="25" t="s">
        <v>160</v>
      </c>
      <c r="E53" s="25" t="s">
        <v>16</v>
      </c>
      <c r="F53" s="26"/>
      <c r="G53" s="52">
        <v>0</v>
      </c>
      <c r="H53" s="52" t="str">
        <f t="shared" ref="H53:H74" si="8">IF(F53*I53= 0,"",F53*I53)</f>
        <v/>
      </c>
      <c r="I53" s="41"/>
      <c r="J53" s="27" t="str">
        <f t="shared" ref="J53:J74" si="9">IF(F53*I53= 0,"",F53*I53)</f>
        <v/>
      </c>
      <c r="K53" s="28">
        <f t="shared" ref="K53:K74" si="10">IF(AND(AD53 &lt;&gt; "", SUM(S53:AC53) &lt;= AD53), SUM(S53:AC53), AD53)</f>
        <v>0</v>
      </c>
      <c r="L53" s="27" t="str">
        <f t="shared" ref="L53:L74" si="11">IF(F53 ="","",F53*K53*N53)</f>
        <v/>
      </c>
      <c r="M53" s="27" t="str">
        <f t="shared" ref="M53:M74" si="12">IF(AND(AND(F53&lt;&gt;"",F53&gt;0), AND(I53&lt;&gt;"",I53&gt;0)),((J53/F53)-(L53/F53)),"")</f>
        <v/>
      </c>
      <c r="N53" s="27">
        <v>0</v>
      </c>
      <c r="O53" s="27" t="str">
        <f t="shared" ref="O53:O74" si="13">IF(AND(AND(F53&lt;&gt;"",F53&gt;0),AND(I53&lt;&gt;"",I53&gt;0)), F53*M53,"")</f>
        <v/>
      </c>
      <c r="P53" s="29">
        <v>4</v>
      </c>
      <c r="Q53" s="30">
        <f t="shared" ref="Q53:Q74" si="14">P53*43.56</f>
        <v>174.24</v>
      </c>
      <c r="R53" s="30" t="str">
        <f>IF(AND(TRIM(Q53)&lt;&gt;"",TRIM(F53)&lt;&gt;""),(F53*319.999849189052)/Q53,"")</f>
        <v/>
      </c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27">
        <f t="shared" ref="AE53:AE74" si="15">IF(F53 = "",0,N53*F53)</f>
        <v>0</v>
      </c>
      <c r="AF53" s="25"/>
      <c r="AH53" s="67" t="s">
        <v>105</v>
      </c>
      <c r="AI53" s="67"/>
      <c r="AJ53" s="67"/>
      <c r="AK53" s="67"/>
      <c r="AL53" s="67"/>
      <c r="AM53" s="67"/>
    </row>
    <row r="54" spans="2:39" x14ac:dyDescent="0.2">
      <c r="B54" s="24"/>
      <c r="C54" s="25" t="s">
        <v>165</v>
      </c>
      <c r="D54" s="25" t="s">
        <v>166</v>
      </c>
      <c r="E54" s="25" t="s">
        <v>167</v>
      </c>
      <c r="F54" s="26"/>
      <c r="G54" s="52">
        <v>0</v>
      </c>
      <c r="H54" s="52" t="str">
        <f t="shared" si="8"/>
        <v/>
      </c>
      <c r="I54" s="41"/>
      <c r="J54" s="27" t="str">
        <f t="shared" si="9"/>
        <v/>
      </c>
      <c r="K54" s="28">
        <f t="shared" si="10"/>
        <v>0</v>
      </c>
      <c r="L54" s="27" t="str">
        <f t="shared" si="11"/>
        <v/>
      </c>
      <c r="M54" s="27" t="str">
        <f t="shared" si="12"/>
        <v/>
      </c>
      <c r="N54" s="27">
        <v>0</v>
      </c>
      <c r="O54" s="27" t="str">
        <f t="shared" si="13"/>
        <v/>
      </c>
      <c r="P54" s="29">
        <v>1.2</v>
      </c>
      <c r="Q54" s="30">
        <f t="shared" si="14"/>
        <v>52.271999999999998</v>
      </c>
      <c r="R54" s="30" t="str">
        <f>IF(AND(TRIM(Q54)&lt;&gt;"",TRIM(F54)&lt;&gt;""),(F54*31.9999999550214)/Q54,"")</f>
        <v/>
      </c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27">
        <f t="shared" si="15"/>
        <v>0</v>
      </c>
      <c r="AF54" s="25"/>
    </row>
    <row r="55" spans="2:39" x14ac:dyDescent="0.2">
      <c r="B55" s="24"/>
      <c r="C55" s="25" t="s">
        <v>168</v>
      </c>
      <c r="D55" s="25" t="s">
        <v>169</v>
      </c>
      <c r="E55" s="25" t="s">
        <v>16</v>
      </c>
      <c r="F55" s="26"/>
      <c r="G55" s="52">
        <v>0</v>
      </c>
      <c r="H55" s="52" t="str">
        <f t="shared" si="8"/>
        <v/>
      </c>
      <c r="I55" s="41"/>
      <c r="J55" s="27" t="str">
        <f t="shared" si="9"/>
        <v/>
      </c>
      <c r="K55" s="28">
        <f t="shared" si="10"/>
        <v>0</v>
      </c>
      <c r="L55" s="27" t="str">
        <f t="shared" si="11"/>
        <v/>
      </c>
      <c r="M55" s="27" t="str">
        <f t="shared" si="12"/>
        <v/>
      </c>
      <c r="N55" s="27">
        <v>0</v>
      </c>
      <c r="O55" s="27" t="str">
        <f t="shared" si="13"/>
        <v/>
      </c>
      <c r="P55" s="29">
        <v>4</v>
      </c>
      <c r="Q55" s="30">
        <f t="shared" si="14"/>
        <v>174.24</v>
      </c>
      <c r="R55" s="30" t="str">
        <f>IF(AND(TRIM(Q55)&lt;&gt;"",TRIM(F55)&lt;&gt;""),(F55*319.999849189052)/Q55,"")</f>
        <v/>
      </c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27">
        <f t="shared" si="15"/>
        <v>0</v>
      </c>
      <c r="AF55" s="25"/>
    </row>
    <row r="56" spans="2:39" x14ac:dyDescent="0.2">
      <c r="B56" s="24"/>
      <c r="C56" s="25" t="s">
        <v>172</v>
      </c>
      <c r="D56" s="25" t="s">
        <v>173</v>
      </c>
      <c r="E56" s="25" t="s">
        <v>16</v>
      </c>
      <c r="F56" s="26"/>
      <c r="G56" s="52">
        <v>0</v>
      </c>
      <c r="H56" s="52" t="str">
        <f t="shared" si="8"/>
        <v/>
      </c>
      <c r="I56" s="41"/>
      <c r="J56" s="27" t="str">
        <f t="shared" si="9"/>
        <v/>
      </c>
      <c r="K56" s="28">
        <f t="shared" si="10"/>
        <v>0</v>
      </c>
      <c r="L56" s="27" t="str">
        <f t="shared" si="11"/>
        <v/>
      </c>
      <c r="M56" s="27" t="str">
        <f t="shared" si="12"/>
        <v/>
      </c>
      <c r="N56" s="27">
        <v>0</v>
      </c>
      <c r="O56" s="27" t="str">
        <f t="shared" si="13"/>
        <v/>
      </c>
      <c r="P56" s="29">
        <v>3</v>
      </c>
      <c r="Q56" s="30">
        <f t="shared" si="14"/>
        <v>130.68</v>
      </c>
      <c r="R56" s="30" t="str">
        <f>IF(AND(TRIM(Q56)&lt;&gt;"",TRIM(F56)&lt;&gt;""),(F56*319.999849189052)/Q56,"")</f>
        <v/>
      </c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27">
        <f t="shared" si="15"/>
        <v>0</v>
      </c>
      <c r="AF56" s="25"/>
    </row>
    <row r="57" spans="2:39" x14ac:dyDescent="0.2">
      <c r="B57" s="24"/>
      <c r="C57" s="25" t="s">
        <v>176</v>
      </c>
      <c r="D57" s="25" t="s">
        <v>177</v>
      </c>
      <c r="E57" s="25" t="s">
        <v>178</v>
      </c>
      <c r="F57" s="26"/>
      <c r="G57" s="52">
        <v>0</v>
      </c>
      <c r="H57" s="52" t="str">
        <f t="shared" si="8"/>
        <v/>
      </c>
      <c r="I57" s="41"/>
      <c r="J57" s="27" t="str">
        <f t="shared" si="9"/>
        <v/>
      </c>
      <c r="K57" s="28">
        <f t="shared" si="10"/>
        <v>0</v>
      </c>
      <c r="L57" s="27" t="str">
        <f t="shared" si="11"/>
        <v/>
      </c>
      <c r="M57" s="27" t="str">
        <f t="shared" si="12"/>
        <v/>
      </c>
      <c r="N57" s="27">
        <v>0</v>
      </c>
      <c r="O57" s="27" t="str">
        <f t="shared" si="13"/>
        <v/>
      </c>
      <c r="P57" s="29">
        <v>4</v>
      </c>
      <c r="Q57" s="30">
        <f t="shared" si="14"/>
        <v>174.24</v>
      </c>
      <c r="R57" s="30" t="str">
        <f>IF(AND(TRIM(Q57)&lt;&gt;"",TRIM(F57)&lt;&gt;""),(F57*87.9999998763089)/Q57,"")</f>
        <v/>
      </c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27">
        <f t="shared" si="15"/>
        <v>0</v>
      </c>
      <c r="AF57" s="25"/>
    </row>
    <row r="58" spans="2:39" x14ac:dyDescent="0.2">
      <c r="B58" s="24"/>
      <c r="C58" s="25" t="s">
        <v>179</v>
      </c>
      <c r="D58" s="25" t="s">
        <v>180</v>
      </c>
      <c r="E58" s="25" t="s">
        <v>181</v>
      </c>
      <c r="F58" s="26"/>
      <c r="G58" s="52">
        <v>0</v>
      </c>
      <c r="H58" s="52" t="str">
        <f t="shared" si="8"/>
        <v/>
      </c>
      <c r="I58" s="41"/>
      <c r="J58" s="27" t="str">
        <f t="shared" si="9"/>
        <v/>
      </c>
      <c r="K58" s="28">
        <f t="shared" si="10"/>
        <v>0</v>
      </c>
      <c r="L58" s="27" t="str">
        <f t="shared" si="11"/>
        <v/>
      </c>
      <c r="M58" s="27" t="str">
        <f t="shared" si="12"/>
        <v/>
      </c>
      <c r="N58" s="27">
        <v>0</v>
      </c>
      <c r="O58" s="27" t="str">
        <f t="shared" si="13"/>
        <v/>
      </c>
      <c r="P58" s="29">
        <v>0.25</v>
      </c>
      <c r="Q58" s="30">
        <f t="shared" si="14"/>
        <v>10.89</v>
      </c>
      <c r="R58" s="30" t="str">
        <f>IF(AND(TRIM(Q58)&lt;&gt;"",TRIM(F58)&lt;&gt;""),(F58*15.9999999775107)/Q58,"")</f>
        <v/>
      </c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27">
        <f t="shared" si="15"/>
        <v>0</v>
      </c>
      <c r="AF58" s="25"/>
    </row>
    <row r="59" spans="2:39" x14ac:dyDescent="0.2">
      <c r="B59" s="24"/>
      <c r="C59" s="25" t="s">
        <v>182</v>
      </c>
      <c r="D59" s="25" t="s">
        <v>183</v>
      </c>
      <c r="E59" s="25" t="s">
        <v>184</v>
      </c>
      <c r="F59" s="26"/>
      <c r="G59" s="52">
        <v>0</v>
      </c>
      <c r="H59" s="52" t="str">
        <f t="shared" si="8"/>
        <v/>
      </c>
      <c r="I59" s="41"/>
      <c r="J59" s="27" t="str">
        <f t="shared" si="9"/>
        <v/>
      </c>
      <c r="K59" s="28">
        <f t="shared" si="10"/>
        <v>0</v>
      </c>
      <c r="L59" s="27" t="str">
        <f t="shared" si="11"/>
        <v/>
      </c>
      <c r="M59" s="27" t="str">
        <f t="shared" si="12"/>
        <v/>
      </c>
      <c r="N59" s="27">
        <v>0</v>
      </c>
      <c r="O59" s="27" t="str">
        <f t="shared" si="13"/>
        <v/>
      </c>
      <c r="P59" s="29"/>
      <c r="Q59" s="30">
        <f t="shared" si="14"/>
        <v>0</v>
      </c>
      <c r="R59" s="30" t="str">
        <f>IF(AND(TRIM(Q59)&lt;&gt;"",TRIM(F59)&lt;&gt;""),(F59*0)/Q59,"")</f>
        <v/>
      </c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27">
        <f t="shared" si="15"/>
        <v>0</v>
      </c>
      <c r="AF59" s="25"/>
    </row>
    <row r="60" spans="2:39" x14ac:dyDescent="0.2">
      <c r="B60" s="24"/>
      <c r="C60" s="25" t="s">
        <v>191</v>
      </c>
      <c r="D60" s="25" t="s">
        <v>192</v>
      </c>
      <c r="E60" s="25" t="s">
        <v>193</v>
      </c>
      <c r="F60" s="26"/>
      <c r="G60" s="52">
        <v>0</v>
      </c>
      <c r="H60" s="52" t="str">
        <f t="shared" si="8"/>
        <v/>
      </c>
      <c r="I60" s="41"/>
      <c r="J60" s="27" t="str">
        <f t="shared" si="9"/>
        <v/>
      </c>
      <c r="K60" s="28">
        <f t="shared" si="10"/>
        <v>0</v>
      </c>
      <c r="L60" s="27" t="str">
        <f t="shared" si="11"/>
        <v/>
      </c>
      <c r="M60" s="27" t="str">
        <f t="shared" si="12"/>
        <v/>
      </c>
      <c r="N60" s="27">
        <v>0</v>
      </c>
      <c r="O60" s="27" t="str">
        <f t="shared" si="13"/>
        <v/>
      </c>
      <c r="P60" s="29">
        <v>3</v>
      </c>
      <c r="Q60" s="30">
        <f t="shared" si="14"/>
        <v>130.68</v>
      </c>
      <c r="R60" s="30" t="str">
        <f>IF(AND(TRIM(Q60)&lt;&gt;"",TRIM(F60)&lt;&gt;""),(F60*8)/Q60,"")</f>
        <v/>
      </c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27">
        <f t="shared" si="15"/>
        <v>0</v>
      </c>
      <c r="AF60" s="25"/>
    </row>
    <row r="61" spans="2:39" x14ac:dyDescent="0.2">
      <c r="B61" s="24"/>
      <c r="C61" s="25" t="s">
        <v>194</v>
      </c>
      <c r="D61" s="25" t="s">
        <v>195</v>
      </c>
      <c r="E61" s="25" t="s">
        <v>189</v>
      </c>
      <c r="F61" s="26"/>
      <c r="G61" s="52">
        <v>0</v>
      </c>
      <c r="H61" s="52" t="str">
        <f t="shared" si="8"/>
        <v/>
      </c>
      <c r="I61" s="41"/>
      <c r="J61" s="27" t="str">
        <f t="shared" si="9"/>
        <v/>
      </c>
      <c r="K61" s="28">
        <f t="shared" si="10"/>
        <v>0</v>
      </c>
      <c r="L61" s="27" t="str">
        <f t="shared" si="11"/>
        <v/>
      </c>
      <c r="M61" s="27" t="str">
        <f t="shared" si="12"/>
        <v/>
      </c>
      <c r="N61" s="27">
        <v>0</v>
      </c>
      <c r="O61" s="27" t="str">
        <f t="shared" si="13"/>
        <v/>
      </c>
      <c r="P61" s="29">
        <v>1.4</v>
      </c>
      <c r="Q61" s="30">
        <f t="shared" si="14"/>
        <v>60.984000000000002</v>
      </c>
      <c r="R61" s="30" t="str">
        <f>IF(AND(TRIM(Q61)&lt;&gt;"",TRIM(F61)&lt;&gt;""),(F61*30)/Q61,"")</f>
        <v/>
      </c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27">
        <f t="shared" si="15"/>
        <v>0</v>
      </c>
      <c r="AF61" s="25"/>
    </row>
    <row r="62" spans="2:39" x14ac:dyDescent="0.2">
      <c r="B62" s="24"/>
      <c r="C62" s="25" t="s">
        <v>196</v>
      </c>
      <c r="D62" s="25" t="s">
        <v>197</v>
      </c>
      <c r="E62" s="25" t="s">
        <v>134</v>
      </c>
      <c r="F62" s="26"/>
      <c r="G62" s="52">
        <v>0</v>
      </c>
      <c r="H62" s="52" t="str">
        <f t="shared" si="8"/>
        <v/>
      </c>
      <c r="I62" s="41"/>
      <c r="J62" s="27" t="str">
        <f t="shared" si="9"/>
        <v/>
      </c>
      <c r="K62" s="28">
        <f t="shared" si="10"/>
        <v>0</v>
      </c>
      <c r="L62" s="27" t="str">
        <f t="shared" si="11"/>
        <v/>
      </c>
      <c r="M62" s="27" t="str">
        <f t="shared" si="12"/>
        <v/>
      </c>
      <c r="N62" s="27">
        <v>0</v>
      </c>
      <c r="O62" s="27" t="str">
        <f t="shared" si="13"/>
        <v/>
      </c>
      <c r="P62" s="29">
        <v>0.53</v>
      </c>
      <c r="Q62" s="30">
        <f t="shared" si="14"/>
        <v>23.086800000000004</v>
      </c>
      <c r="R62" s="30" t="str">
        <f>IF(AND(TRIM(Q62)&lt;&gt;"",TRIM(F62)&lt;&gt;""),(F62*127.999939675621)/Q62,"")</f>
        <v/>
      </c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27">
        <f t="shared" si="15"/>
        <v>0</v>
      </c>
      <c r="AF62" s="25"/>
    </row>
    <row r="63" spans="2:39" x14ac:dyDescent="0.2">
      <c r="B63" s="24"/>
      <c r="C63" s="25" t="s">
        <v>198</v>
      </c>
      <c r="D63" s="25" t="s">
        <v>199</v>
      </c>
      <c r="E63" s="25" t="s">
        <v>200</v>
      </c>
      <c r="F63" s="26"/>
      <c r="G63" s="52">
        <v>0</v>
      </c>
      <c r="H63" s="52" t="str">
        <f t="shared" si="8"/>
        <v/>
      </c>
      <c r="I63" s="41"/>
      <c r="J63" s="27" t="str">
        <f t="shared" si="9"/>
        <v/>
      </c>
      <c r="K63" s="28">
        <f t="shared" si="10"/>
        <v>0</v>
      </c>
      <c r="L63" s="27" t="str">
        <f t="shared" si="11"/>
        <v/>
      </c>
      <c r="M63" s="27" t="str">
        <f t="shared" si="12"/>
        <v/>
      </c>
      <c r="N63" s="27">
        <v>0</v>
      </c>
      <c r="O63" s="27" t="str">
        <f t="shared" si="13"/>
        <v/>
      </c>
      <c r="P63" s="29">
        <v>0.17199999999999999</v>
      </c>
      <c r="Q63" s="30">
        <f t="shared" si="14"/>
        <v>7.4923199999999994</v>
      </c>
      <c r="R63" s="30" t="str">
        <f>IF(AND(TRIM(Q63)&lt;&gt;"",TRIM(F63)&lt;&gt;""),(F63*6.4)/Q63,"")</f>
        <v/>
      </c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27">
        <f t="shared" si="15"/>
        <v>0</v>
      </c>
      <c r="AF63" s="25"/>
    </row>
    <row r="64" spans="2:39" x14ac:dyDescent="0.2">
      <c r="B64" s="24"/>
      <c r="C64" s="25" t="s">
        <v>201</v>
      </c>
      <c r="D64" s="25" t="s">
        <v>202</v>
      </c>
      <c r="E64" s="25" t="s">
        <v>16</v>
      </c>
      <c r="F64" s="26"/>
      <c r="G64" s="52">
        <v>0</v>
      </c>
      <c r="H64" s="52" t="str">
        <f t="shared" si="8"/>
        <v/>
      </c>
      <c r="I64" s="41"/>
      <c r="J64" s="27" t="str">
        <f t="shared" si="9"/>
        <v/>
      </c>
      <c r="K64" s="28">
        <f t="shared" si="10"/>
        <v>0</v>
      </c>
      <c r="L64" s="27" t="str">
        <f t="shared" si="11"/>
        <v/>
      </c>
      <c r="M64" s="27" t="str">
        <f t="shared" si="12"/>
        <v/>
      </c>
      <c r="N64" s="27">
        <v>0</v>
      </c>
      <c r="O64" s="27" t="str">
        <f t="shared" si="13"/>
        <v/>
      </c>
      <c r="P64" s="29">
        <v>1.5</v>
      </c>
      <c r="Q64" s="30">
        <f t="shared" si="14"/>
        <v>65.34</v>
      </c>
      <c r="R64" s="30" t="str">
        <f>IF(AND(TRIM(Q64)&lt;&gt;"",TRIM(F64)&lt;&gt;""),(F64*319.999849189052)/Q64,"")</f>
        <v/>
      </c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27">
        <f t="shared" si="15"/>
        <v>0</v>
      </c>
      <c r="AF64" s="25"/>
    </row>
    <row r="65" spans="2:32" x14ac:dyDescent="0.2">
      <c r="B65" s="24"/>
      <c r="C65" s="25" t="s">
        <v>203</v>
      </c>
      <c r="D65" s="25" t="s">
        <v>204</v>
      </c>
      <c r="E65" s="25" t="s">
        <v>205</v>
      </c>
      <c r="F65" s="26"/>
      <c r="G65" s="52">
        <v>0</v>
      </c>
      <c r="H65" s="52" t="str">
        <f t="shared" si="8"/>
        <v/>
      </c>
      <c r="I65" s="41"/>
      <c r="J65" s="27" t="str">
        <f t="shared" si="9"/>
        <v/>
      </c>
      <c r="K65" s="28">
        <f t="shared" si="10"/>
        <v>0</v>
      </c>
      <c r="L65" s="27" t="str">
        <f t="shared" si="11"/>
        <v/>
      </c>
      <c r="M65" s="27" t="str">
        <f t="shared" si="12"/>
        <v/>
      </c>
      <c r="N65" s="27">
        <v>0</v>
      </c>
      <c r="O65" s="27" t="str">
        <f t="shared" si="13"/>
        <v/>
      </c>
      <c r="P65" s="29">
        <v>2.2000000000000002</v>
      </c>
      <c r="Q65" s="30">
        <f t="shared" si="14"/>
        <v>95.832000000000008</v>
      </c>
      <c r="R65" s="30" t="str">
        <f>IF(AND(TRIM(Q65)&lt;&gt;"",TRIM(F65)&lt;&gt;""),(F65*47.9999999325321)/Q65,"")</f>
        <v/>
      </c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27">
        <f t="shared" si="15"/>
        <v>0</v>
      </c>
      <c r="AF65" s="25"/>
    </row>
    <row r="66" spans="2:32" x14ac:dyDescent="0.2">
      <c r="B66" s="24"/>
      <c r="C66" s="25" t="s">
        <v>206</v>
      </c>
      <c r="D66" s="25" t="s">
        <v>207</v>
      </c>
      <c r="E66" s="25" t="s">
        <v>16</v>
      </c>
      <c r="F66" s="26"/>
      <c r="G66" s="52">
        <v>0</v>
      </c>
      <c r="H66" s="52" t="str">
        <f t="shared" si="8"/>
        <v/>
      </c>
      <c r="I66" s="41"/>
      <c r="J66" s="27" t="str">
        <f t="shared" si="9"/>
        <v/>
      </c>
      <c r="K66" s="28">
        <f t="shared" si="10"/>
        <v>0</v>
      </c>
      <c r="L66" s="27" t="str">
        <f t="shared" si="11"/>
        <v/>
      </c>
      <c r="M66" s="27" t="str">
        <f t="shared" si="12"/>
        <v/>
      </c>
      <c r="N66" s="27">
        <v>0</v>
      </c>
      <c r="O66" s="27" t="str">
        <f t="shared" si="13"/>
        <v/>
      </c>
      <c r="P66" s="29">
        <v>5</v>
      </c>
      <c r="Q66" s="30">
        <f t="shared" si="14"/>
        <v>217.8</v>
      </c>
      <c r="R66" s="30" t="str">
        <f>IF(AND(TRIM(Q66)&lt;&gt;"",TRIM(F66)&lt;&gt;""),(F66*319.999849189052)/Q66,"")</f>
        <v/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27">
        <f t="shared" si="15"/>
        <v>0</v>
      </c>
      <c r="AF66" s="25"/>
    </row>
    <row r="67" spans="2:32" x14ac:dyDescent="0.2">
      <c r="B67" s="24"/>
      <c r="C67" s="25" t="s">
        <v>209</v>
      </c>
      <c r="D67" s="25" t="s">
        <v>121</v>
      </c>
      <c r="E67" s="25" t="s">
        <v>210</v>
      </c>
      <c r="F67" s="26"/>
      <c r="G67" s="52">
        <v>0</v>
      </c>
      <c r="H67" s="52" t="str">
        <f t="shared" si="8"/>
        <v/>
      </c>
      <c r="I67" s="41"/>
      <c r="J67" s="27" t="str">
        <f t="shared" si="9"/>
        <v/>
      </c>
      <c r="K67" s="28">
        <f t="shared" si="10"/>
        <v>0</v>
      </c>
      <c r="L67" s="27" t="str">
        <f t="shared" si="11"/>
        <v/>
      </c>
      <c r="M67" s="27" t="str">
        <f t="shared" si="12"/>
        <v/>
      </c>
      <c r="N67" s="27">
        <v>0</v>
      </c>
      <c r="O67" s="27" t="str">
        <f t="shared" si="13"/>
        <v/>
      </c>
      <c r="P67" s="29">
        <v>0.4</v>
      </c>
      <c r="Q67" s="30">
        <f t="shared" si="14"/>
        <v>17.424000000000003</v>
      </c>
      <c r="R67" s="30" t="str">
        <f>IF(AND(TRIM(Q67)&lt;&gt;"",TRIM(F67)&lt;&gt;""),(F67*32)/Q67,"")</f>
        <v/>
      </c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27">
        <f t="shared" si="15"/>
        <v>0</v>
      </c>
      <c r="AF67" s="25"/>
    </row>
    <row r="68" spans="2:32" x14ac:dyDescent="0.2">
      <c r="B68" s="24"/>
      <c r="C68" s="25" t="s">
        <v>211</v>
      </c>
      <c r="D68" s="25" t="s">
        <v>212</v>
      </c>
      <c r="E68" s="25" t="s">
        <v>16</v>
      </c>
      <c r="F68" s="26"/>
      <c r="G68" s="52">
        <v>0</v>
      </c>
      <c r="H68" s="52" t="str">
        <f t="shared" si="8"/>
        <v/>
      </c>
      <c r="I68" s="41"/>
      <c r="J68" s="27" t="str">
        <f t="shared" si="9"/>
        <v/>
      </c>
      <c r="K68" s="28">
        <f t="shared" si="10"/>
        <v>0</v>
      </c>
      <c r="L68" s="27" t="str">
        <f t="shared" si="11"/>
        <v/>
      </c>
      <c r="M68" s="27" t="str">
        <f t="shared" si="12"/>
        <v/>
      </c>
      <c r="N68" s="27">
        <v>0</v>
      </c>
      <c r="O68" s="27" t="str">
        <f t="shared" si="13"/>
        <v/>
      </c>
      <c r="P68" s="29">
        <v>6</v>
      </c>
      <c r="Q68" s="30">
        <f t="shared" si="14"/>
        <v>261.36</v>
      </c>
      <c r="R68" s="30" t="str">
        <f>IF(AND(TRIM(Q68)&lt;&gt;"",TRIM(F68)&lt;&gt;""),(F68*319.999849189052)/Q68,"")</f>
        <v/>
      </c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27">
        <f t="shared" si="15"/>
        <v>0</v>
      </c>
      <c r="AF68" s="25"/>
    </row>
    <row r="69" spans="2:32" x14ac:dyDescent="0.2">
      <c r="B69" s="24"/>
      <c r="C69" s="25" t="s">
        <v>213</v>
      </c>
      <c r="D69" s="25" t="s">
        <v>214</v>
      </c>
      <c r="E69" s="25" t="s">
        <v>215</v>
      </c>
      <c r="F69" s="26"/>
      <c r="G69" s="52">
        <v>0</v>
      </c>
      <c r="H69" s="52" t="str">
        <f t="shared" si="8"/>
        <v/>
      </c>
      <c r="I69" s="41"/>
      <c r="J69" s="27" t="str">
        <f t="shared" si="9"/>
        <v/>
      </c>
      <c r="K69" s="28">
        <f t="shared" si="10"/>
        <v>0</v>
      </c>
      <c r="L69" s="27" t="str">
        <f t="shared" si="11"/>
        <v/>
      </c>
      <c r="M69" s="27" t="str">
        <f t="shared" si="12"/>
        <v/>
      </c>
      <c r="N69" s="27">
        <v>0</v>
      </c>
      <c r="O69" s="27" t="str">
        <f t="shared" si="13"/>
        <v/>
      </c>
      <c r="P69" s="29">
        <v>8</v>
      </c>
      <c r="Q69" s="30">
        <f t="shared" si="14"/>
        <v>348.48</v>
      </c>
      <c r="R69" s="30" t="str">
        <f>IF(AND(TRIM(Q69)&lt;&gt;"",TRIM(F69)&lt;&gt;""),(F69*79.9999998875535)/Q69,"")</f>
        <v/>
      </c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27">
        <f t="shared" si="15"/>
        <v>0</v>
      </c>
      <c r="AF69" s="25"/>
    </row>
    <row r="70" spans="2:32" x14ac:dyDescent="0.2">
      <c r="B70" s="24"/>
      <c r="C70" s="25" t="s">
        <v>216</v>
      </c>
      <c r="D70" s="25" t="s">
        <v>217</v>
      </c>
      <c r="E70" s="25" t="s">
        <v>218</v>
      </c>
      <c r="F70" s="26"/>
      <c r="G70" s="52">
        <v>0</v>
      </c>
      <c r="H70" s="52" t="str">
        <f t="shared" si="8"/>
        <v/>
      </c>
      <c r="I70" s="41"/>
      <c r="J70" s="27" t="str">
        <f t="shared" si="9"/>
        <v/>
      </c>
      <c r="K70" s="28">
        <f t="shared" si="10"/>
        <v>0</v>
      </c>
      <c r="L70" s="27" t="str">
        <f t="shared" si="11"/>
        <v/>
      </c>
      <c r="M70" s="27" t="str">
        <f t="shared" si="12"/>
        <v/>
      </c>
      <c r="N70" s="27">
        <v>0</v>
      </c>
      <c r="O70" s="27" t="str">
        <f t="shared" si="13"/>
        <v/>
      </c>
      <c r="P70" s="29">
        <v>16</v>
      </c>
      <c r="Q70" s="30">
        <f t="shared" si="14"/>
        <v>696.96</v>
      </c>
      <c r="R70" s="30" t="str">
        <f>IF(AND(TRIM(Q70)&lt;&gt;"",TRIM(F70)&lt;&gt;""),(F70*144)/Q70,"")</f>
        <v/>
      </c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27">
        <f t="shared" si="15"/>
        <v>0</v>
      </c>
      <c r="AF70" s="25"/>
    </row>
    <row r="71" spans="2:32" x14ac:dyDescent="0.2">
      <c r="B71" s="24"/>
      <c r="C71" s="25" t="s">
        <v>219</v>
      </c>
      <c r="D71" s="25" t="s">
        <v>220</v>
      </c>
      <c r="E71" s="25" t="s">
        <v>221</v>
      </c>
      <c r="F71" s="26"/>
      <c r="G71" s="52">
        <v>0</v>
      </c>
      <c r="H71" s="52" t="str">
        <f t="shared" si="8"/>
        <v/>
      </c>
      <c r="I71" s="41"/>
      <c r="J71" s="27" t="str">
        <f t="shared" si="9"/>
        <v/>
      </c>
      <c r="K71" s="28">
        <f t="shared" si="10"/>
        <v>0</v>
      </c>
      <c r="L71" s="27" t="str">
        <f t="shared" si="11"/>
        <v/>
      </c>
      <c r="M71" s="27" t="str">
        <f t="shared" si="12"/>
        <v/>
      </c>
      <c r="N71" s="27">
        <v>0</v>
      </c>
      <c r="O71" s="27" t="str">
        <f t="shared" si="13"/>
        <v/>
      </c>
      <c r="P71" s="29">
        <v>0.27500000000000002</v>
      </c>
      <c r="Q71" s="30">
        <f t="shared" si="14"/>
        <v>11.979000000000001</v>
      </c>
      <c r="R71" s="30" t="str">
        <f>IF(AND(TRIM(Q71)&lt;&gt;"",TRIM(F71)&lt;&gt;""),(F71*8.115365448432)/Q71,"")</f>
        <v/>
      </c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27">
        <f t="shared" si="15"/>
        <v>0</v>
      </c>
      <c r="AF71" s="25"/>
    </row>
    <row r="72" spans="2:32" x14ac:dyDescent="0.2">
      <c r="B72" s="24"/>
      <c r="C72" s="25" t="s">
        <v>223</v>
      </c>
      <c r="D72" s="25" t="s">
        <v>220</v>
      </c>
      <c r="E72" s="25" t="s">
        <v>224</v>
      </c>
      <c r="F72" s="26"/>
      <c r="G72" s="52">
        <v>0</v>
      </c>
      <c r="H72" s="52" t="str">
        <f t="shared" si="8"/>
        <v/>
      </c>
      <c r="I72" s="41"/>
      <c r="J72" s="27" t="str">
        <f t="shared" si="9"/>
        <v/>
      </c>
      <c r="K72" s="28">
        <f t="shared" si="10"/>
        <v>0</v>
      </c>
      <c r="L72" s="27" t="str">
        <f t="shared" si="11"/>
        <v/>
      </c>
      <c r="M72" s="27" t="str">
        <f t="shared" si="12"/>
        <v/>
      </c>
      <c r="N72" s="27">
        <v>0</v>
      </c>
      <c r="O72" s="27" t="str">
        <f t="shared" si="13"/>
        <v/>
      </c>
      <c r="P72" s="29">
        <v>0.27500000000000002</v>
      </c>
      <c r="Q72" s="30">
        <f t="shared" si="14"/>
        <v>11.979000000000001</v>
      </c>
      <c r="R72" s="30" t="str">
        <f>IF(AND(TRIM(Q72)&lt;&gt;"",TRIM(F72)&lt;&gt;""),(F72*30.43262043162)/Q72,"")</f>
        <v/>
      </c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27">
        <f t="shared" si="15"/>
        <v>0</v>
      </c>
      <c r="AF72" s="25"/>
    </row>
    <row r="73" spans="2:32" x14ac:dyDescent="0.2">
      <c r="B73" s="24"/>
      <c r="C73" s="25" t="s">
        <v>225</v>
      </c>
      <c r="D73" s="25" t="s">
        <v>226</v>
      </c>
      <c r="E73" s="25" t="s">
        <v>227</v>
      </c>
      <c r="F73" s="26"/>
      <c r="G73" s="52">
        <v>0</v>
      </c>
      <c r="H73" s="52" t="str">
        <f t="shared" si="8"/>
        <v/>
      </c>
      <c r="I73" s="41"/>
      <c r="J73" s="27" t="str">
        <f t="shared" si="9"/>
        <v/>
      </c>
      <c r="K73" s="28">
        <f t="shared" si="10"/>
        <v>0</v>
      </c>
      <c r="L73" s="27" t="str">
        <f t="shared" si="11"/>
        <v/>
      </c>
      <c r="M73" s="27" t="str">
        <f t="shared" si="12"/>
        <v/>
      </c>
      <c r="N73" s="27">
        <v>0</v>
      </c>
      <c r="O73" s="27" t="str">
        <f t="shared" si="13"/>
        <v/>
      </c>
      <c r="P73" s="29">
        <v>0.35399999999999998</v>
      </c>
      <c r="Q73" s="30">
        <f t="shared" si="14"/>
        <v>15.42024</v>
      </c>
      <c r="R73" s="30" t="str">
        <f>IF(AND(TRIM(Q73)&lt;&gt;"",TRIM(F73)&lt;&gt;""),(F73*14.815063998)/Q73,"")</f>
        <v/>
      </c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27">
        <f t="shared" si="15"/>
        <v>0</v>
      </c>
      <c r="AF73" s="25"/>
    </row>
    <row r="74" spans="2:32" x14ac:dyDescent="0.2">
      <c r="B74" s="24"/>
      <c r="C74" s="25" t="s">
        <v>228</v>
      </c>
      <c r="D74" s="25" t="s">
        <v>229</v>
      </c>
      <c r="E74" s="25" t="s">
        <v>230</v>
      </c>
      <c r="F74" s="26"/>
      <c r="G74" s="52">
        <v>0</v>
      </c>
      <c r="H74" s="52" t="str">
        <f t="shared" si="8"/>
        <v/>
      </c>
      <c r="I74" s="41"/>
      <c r="J74" s="27" t="str">
        <f t="shared" si="9"/>
        <v/>
      </c>
      <c r="K74" s="28">
        <f t="shared" si="10"/>
        <v>0</v>
      </c>
      <c r="L74" s="27" t="str">
        <f t="shared" si="11"/>
        <v/>
      </c>
      <c r="M74" s="27" t="str">
        <f t="shared" si="12"/>
        <v/>
      </c>
      <c r="N74" s="27">
        <v>0</v>
      </c>
      <c r="O74" s="27" t="str">
        <f t="shared" si="13"/>
        <v/>
      </c>
      <c r="P74" s="29">
        <v>0.35199999999999998</v>
      </c>
      <c r="Q74" s="30">
        <f t="shared" si="14"/>
        <v>15.333119999999999</v>
      </c>
      <c r="R74" s="30" t="str">
        <f>IF(AND(TRIM(Q74)&lt;&gt;"",TRIM(F74)&lt;&gt;""),(F74*14.10958476)/Q74,"")</f>
        <v/>
      </c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27">
        <f t="shared" si="15"/>
        <v>0</v>
      </c>
      <c r="AF74" s="25"/>
    </row>
    <row r="75" spans="2:32" x14ac:dyDescent="0.2">
      <c r="B75" s="42"/>
      <c r="C75" s="42"/>
      <c r="D75" s="42"/>
      <c r="E75" s="42"/>
      <c r="F75" s="43">
        <f>SUM(F19:F48,F51:F74)</f>
        <v>0</v>
      </c>
      <c r="G75" s="44"/>
      <c r="H75" s="44">
        <f>SUM(H19:H48,H51:H74)</f>
        <v>0</v>
      </c>
      <c r="I75" s="44"/>
      <c r="J75" s="44">
        <f>SUM(J19:J48,J51:J74)</f>
        <v>0</v>
      </c>
      <c r="K75" s="45"/>
      <c r="L75" s="44">
        <f>SUM(L19:L48,L51:L74)</f>
        <v>0</v>
      </c>
      <c r="M75" s="44"/>
      <c r="N75" s="44"/>
      <c r="O75" s="44">
        <f>SUM(O19:O48,O51:O74)</f>
        <v>0</v>
      </c>
      <c r="P75" s="46"/>
      <c r="Q75" s="47"/>
      <c r="R75" s="47">
        <v>0</v>
      </c>
      <c r="S75" s="46"/>
      <c r="T75" s="46"/>
      <c r="U75" s="46"/>
      <c r="V75" s="46"/>
      <c r="W75" s="46"/>
      <c r="X75" s="46"/>
      <c r="Y75" s="46"/>
      <c r="Z75" s="46" t="str">
        <f>IF(VLOOKUP(7, Rebates!$B$4:$D$14, 3, FALSE) = 0, "", IF(AE75="",0,IF(ISNA(VLOOKUP(AE75,Rebates!$M$4:$P$9,3,1)),"", VLOOKUP(AE75,Rebates!$M$4:$P$9,3,1))))</f>
        <v/>
      </c>
      <c r="AA75" s="46"/>
      <c r="AB75" s="46"/>
      <c r="AC75" s="46"/>
      <c r="AD75" s="46"/>
      <c r="AE75" s="44">
        <f>SUM(AE19:AE48,AE51:AE74)</f>
        <v>0</v>
      </c>
      <c r="AF75" s="42"/>
    </row>
    <row r="77" spans="2:32" x14ac:dyDescent="0.2">
      <c r="B77" s="79" t="s">
        <v>231</v>
      </c>
      <c r="C77" s="79"/>
      <c r="D77" s="79"/>
      <c r="E77" s="79"/>
    </row>
    <row r="78" spans="2:32" x14ac:dyDescent="0.2">
      <c r="B78" s="79"/>
      <c r="C78" s="79"/>
      <c r="D78" s="79"/>
      <c r="E78" s="79"/>
    </row>
    <row r="79" spans="2:32" x14ac:dyDescent="0.2">
      <c r="B79" s="80" t="s">
        <v>236</v>
      </c>
      <c r="C79" s="80"/>
      <c r="D79" s="80"/>
      <c r="E79" s="80"/>
    </row>
    <row r="80" spans="2:32" x14ac:dyDescent="0.2">
      <c r="B80" s="80"/>
      <c r="C80" s="80"/>
      <c r="D80" s="80"/>
      <c r="E80" s="80"/>
    </row>
    <row r="81" spans="2:5" x14ac:dyDescent="0.2">
      <c r="B81" s="80"/>
      <c r="C81" s="80"/>
      <c r="D81" s="80"/>
      <c r="E81" s="80"/>
    </row>
    <row r="82" spans="2:5" x14ac:dyDescent="0.2">
      <c r="B82" s="59" t="s">
        <v>237</v>
      </c>
      <c r="C82" s="60"/>
      <c r="D82" s="60"/>
      <c r="E82" s="48">
        <f>H75</f>
        <v>0</v>
      </c>
    </row>
    <row r="83" spans="2:5" x14ac:dyDescent="0.2">
      <c r="B83" s="57" t="s">
        <v>238</v>
      </c>
      <c r="C83" s="58"/>
      <c r="D83" s="58"/>
      <c r="E83" s="49">
        <f>SUM(H75-J75)</f>
        <v>0</v>
      </c>
    </row>
    <row r="84" spans="2:5" x14ac:dyDescent="0.2">
      <c r="B84" s="59" t="s">
        <v>239</v>
      </c>
      <c r="C84" s="60"/>
      <c r="D84" s="60"/>
      <c r="E84" s="48">
        <f>J75</f>
        <v>0</v>
      </c>
    </row>
    <row r="85" spans="2:5" x14ac:dyDescent="0.2">
      <c r="B85" s="57" t="s">
        <v>240</v>
      </c>
      <c r="C85" s="58"/>
      <c r="D85" s="58"/>
      <c r="E85" s="49">
        <f>L75</f>
        <v>0</v>
      </c>
    </row>
    <row r="86" spans="2:5" x14ac:dyDescent="0.2">
      <c r="B86" s="59" t="s">
        <v>241</v>
      </c>
      <c r="C86" s="60"/>
      <c r="D86" s="60"/>
      <c r="E86" s="48">
        <f>O75</f>
        <v>0</v>
      </c>
    </row>
    <row r="87" spans="2:5" x14ac:dyDescent="0.2">
      <c r="B87" s="57" t="s">
        <v>242</v>
      </c>
      <c r="C87" s="58"/>
      <c r="D87" s="58"/>
      <c r="E87" s="50">
        <f>IF(AND(J75 &lt;&gt;"", J75 &gt; 0), SUM(L75/J75),0)</f>
        <v>0</v>
      </c>
    </row>
    <row r="88" spans="2:5" x14ac:dyDescent="0.2">
      <c r="B88" s="59" t="s">
        <v>243</v>
      </c>
      <c r="C88" s="60"/>
      <c r="D88" s="60"/>
      <c r="E88" s="51">
        <f>IF(AND(E82 &lt;&gt; "", E82 &gt; 0), ((E82 - E84) + E85)/E82,0)</f>
        <v>0</v>
      </c>
    </row>
    <row r="89" spans="2:5" x14ac:dyDescent="0.2">
      <c r="B89" s="61" t="str">
        <f>CONCATENATE("Estimated MBR points to be earned in the Product Cart: ",TEXT(IF(AND(E85 &lt;&gt;"", E85 &gt; 0),E85*100, 0),"#,##0"))</f>
        <v>Estimated MBR points to be earned in the Product Cart: 0</v>
      </c>
      <c r="C89" s="61"/>
      <c r="D89" s="61"/>
      <c r="E89" s="61"/>
    </row>
    <row r="90" spans="2:5" x14ac:dyDescent="0.2">
      <c r="B90" s="62" t="s">
        <v>244</v>
      </c>
      <c r="C90" s="62"/>
      <c r="D90" s="62"/>
      <c r="E90" s="62"/>
    </row>
    <row r="91" spans="2:5" x14ac:dyDescent="0.2">
      <c r="B91" s="62"/>
      <c r="C91" s="62"/>
      <c r="D91" s="62"/>
      <c r="E91" s="62"/>
    </row>
    <row r="92" spans="2:5" x14ac:dyDescent="0.2">
      <c r="B92" s="62"/>
      <c r="C92" s="62"/>
      <c r="D92" s="62"/>
      <c r="E92" s="62"/>
    </row>
    <row r="93" spans="2:5" x14ac:dyDescent="0.2">
      <c r="B93" s="62"/>
      <c r="C93" s="62"/>
      <c r="D93" s="62"/>
      <c r="E93" s="62"/>
    </row>
    <row r="94" spans="2:5" x14ac:dyDescent="0.2">
      <c r="B94" s="62"/>
      <c r="C94" s="62"/>
      <c r="D94" s="62"/>
      <c r="E94" s="62"/>
    </row>
  </sheetData>
  <sheetProtection algorithmName="SHA-512" hashValue="9y/8hXbILIZBfDpFHqgzD7MH3xLzKQo0dTtAcB0YIOcdcc3Q9+5vgwOzTik7ZW4u/qJp/RscjX5GhQ1c7YOVxg==" saltValue="cOZeGqoLsUWsMVCSrOhOjw==" spinCount="100000" sheet="1" objects="1" scenarios="1"/>
  <mergeCells count="98">
    <mergeCell ref="B1:AE1"/>
    <mergeCell ref="B3:E4"/>
    <mergeCell ref="B5:E6"/>
    <mergeCell ref="B7:E7"/>
    <mergeCell ref="B8:E8"/>
    <mergeCell ref="B9:E9"/>
    <mergeCell ref="B10:E10"/>
    <mergeCell ref="B11:E11"/>
    <mergeCell ref="B14:E15"/>
    <mergeCell ref="AH14:AM15"/>
    <mergeCell ref="B17:R17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X18:X20"/>
    <mergeCell ref="Y18:Y20"/>
    <mergeCell ref="Z18:Z20"/>
    <mergeCell ref="AA18:AA20"/>
    <mergeCell ref="AB18:AB20"/>
    <mergeCell ref="AC18:AC20"/>
    <mergeCell ref="AD18:AD20"/>
    <mergeCell ref="AE18:AE20"/>
    <mergeCell ref="AF18:AF20"/>
    <mergeCell ref="AH20:AM21"/>
    <mergeCell ref="AH22:AM23"/>
    <mergeCell ref="AH24:AM24"/>
    <mergeCell ref="AH16:AM18"/>
    <mergeCell ref="AH29:AM29"/>
    <mergeCell ref="AH32:AM33"/>
    <mergeCell ref="AH34:AM35"/>
    <mergeCell ref="AH36:AM36"/>
    <mergeCell ref="AH41:AM41"/>
    <mergeCell ref="AH44:AM45"/>
    <mergeCell ref="AH46:AM47"/>
    <mergeCell ref="AH48:AM48"/>
    <mergeCell ref="B49:R49"/>
    <mergeCell ref="B50:B52"/>
    <mergeCell ref="C50:C52"/>
    <mergeCell ref="D50:D52"/>
    <mergeCell ref="E50:E52"/>
    <mergeCell ref="F50:F52"/>
    <mergeCell ref="G50:G52"/>
    <mergeCell ref="H50:H52"/>
    <mergeCell ref="I50:I52"/>
    <mergeCell ref="J50:J52"/>
    <mergeCell ref="K50:K52"/>
    <mergeCell ref="L50:L52"/>
    <mergeCell ref="M50:M52"/>
    <mergeCell ref="N50:N52"/>
    <mergeCell ref="O50:O52"/>
    <mergeCell ref="P50:P52"/>
    <mergeCell ref="Q50:Q52"/>
    <mergeCell ref="R50:R52"/>
    <mergeCell ref="S50:S52"/>
    <mergeCell ref="T50:T52"/>
    <mergeCell ref="U50:U52"/>
    <mergeCell ref="V50:V52"/>
    <mergeCell ref="W50:W52"/>
    <mergeCell ref="X50:X52"/>
    <mergeCell ref="Y50:Y52"/>
    <mergeCell ref="Z50:Z52"/>
    <mergeCell ref="AA50:AA52"/>
    <mergeCell ref="AB50:AB52"/>
    <mergeCell ref="AC50:AC52"/>
    <mergeCell ref="AD50:AD52"/>
    <mergeCell ref="AE50:AE52"/>
    <mergeCell ref="AF50:AF52"/>
    <mergeCell ref="AH53:AM53"/>
    <mergeCell ref="B77:E78"/>
    <mergeCell ref="B79:E81"/>
    <mergeCell ref="B82:D82"/>
    <mergeCell ref="B83:D83"/>
    <mergeCell ref="B84:D84"/>
    <mergeCell ref="B90:E94"/>
    <mergeCell ref="B85:D85"/>
    <mergeCell ref="B86:D86"/>
    <mergeCell ref="B87:D87"/>
    <mergeCell ref="B88:D88"/>
    <mergeCell ref="B89:E89"/>
  </mergeCells>
  <conditionalFormatting sqref="B19:B48">
    <cfRule type="iconSet" priority="1">
      <iconSet iconSet="3Flags" showValue="0">
        <cfvo type="num" val="-1"/>
        <cfvo type="num" val="0"/>
        <cfvo type="num" val="1"/>
      </iconSet>
    </cfRule>
  </conditionalFormatting>
  <conditionalFormatting sqref="B51:B74">
    <cfRule type="iconSet" priority="2">
      <iconSet iconSet="3Flags" showValue="0">
        <cfvo type="num" val="-1"/>
        <cfvo type="num" val="0"/>
        <cfvo type="num" val="1"/>
      </iconSet>
    </cfRule>
  </conditionalFormatting>
  <dataValidations count="46">
    <dataValidation type="whole" allowBlank="1" showInputMessage="1" showErrorMessage="1" errorTitle="# Units Error" error="Must be greater than 1." sqref="F21 F25" xr:uid="{00000000-0002-0000-0200-000000000000}">
      <formula1>1</formula1>
      <formula2>999999</formula2>
    </dataValidation>
    <dataValidation type="decimal" errorStyle="warning" allowBlank="1" showInputMessage="1" showErrorMessage="1" errorTitle="Use Rate Error" error="Must be between 0.1600 and 0.3200" sqref="P21" xr:uid="{00000000-0002-0000-0200-000001000000}">
      <formula1>0.16</formula1>
      <formula2>0.32</formula2>
    </dataValidation>
    <dataValidation type="whole" allowBlank="1" showInputMessage="1" showErrorMessage="1" errorTitle="# Units Error" error="Must be greater than 1." sqref="F22:F24 F28 F33:F35 F43:F44 F47:F48 F53:F74" xr:uid="{00000000-0002-0000-0200-000002000000}">
      <formula1>1</formula1>
      <formula2>9999999</formula2>
    </dataValidation>
    <dataValidation type="decimal" errorStyle="warning" allowBlank="1" showInputMessage="1" showErrorMessage="1" errorTitle="Use Rate Error" error="Must be between 1.3000 and 4.0000" sqref="P22" xr:uid="{00000000-0002-0000-0200-000003000000}">
      <formula1>1.3</formula1>
      <formula2>4</formula2>
    </dataValidation>
    <dataValidation type="decimal" errorStyle="warning" allowBlank="1" showInputMessage="1" showErrorMessage="1" errorTitle="Use Rate Error" error="Must be between 0.5000 and 1.9000" sqref="P23" xr:uid="{00000000-0002-0000-0200-000004000000}">
      <formula1>0.5</formula1>
      <formula2>1.9</formula2>
    </dataValidation>
    <dataValidation type="decimal" errorStyle="warning" allowBlank="1" showInputMessage="1" showErrorMessage="1" errorTitle="Use Rate Error" error="Must be between 0.0570 and 0.1130" sqref="P24" xr:uid="{00000000-0002-0000-0200-000005000000}">
      <formula1>0.057</formula1>
      <formula2>0.113</formula2>
    </dataValidation>
    <dataValidation type="decimal" errorStyle="warning" allowBlank="1" showInputMessage="1" showErrorMessage="1" errorTitle="Use Rate Error" error="Must be between 0.1150 and 0.2300" sqref="P25" xr:uid="{00000000-0002-0000-0200-000006000000}">
      <formula1>0.115</formula1>
      <formula2>0.23</formula2>
    </dataValidation>
    <dataValidation type="whole" allowBlank="1" showInputMessage="1" showErrorMessage="1" errorTitle="# Units Error" error="Must be between 1 and 2" sqref="F26" xr:uid="{00000000-0002-0000-0200-000007000000}">
      <formula1>1</formula1>
      <formula2>2</formula2>
    </dataValidation>
    <dataValidation type="decimal" errorStyle="warning" allowBlank="1" showInputMessage="1" showErrorMessage="1" errorTitle="Use Rate Error" error="Must be between 4.0000 and 8.0000" sqref="P26:P27 P57" xr:uid="{00000000-0002-0000-0200-000008000000}">
      <formula1>4</formula1>
      <formula2>8</formula2>
    </dataValidation>
    <dataValidation type="whole" allowBlank="1" showInputMessage="1" showErrorMessage="1" errorTitle="# Units Error" error="Must be greater than 3." sqref="F27" xr:uid="{00000000-0002-0000-0200-000009000000}">
      <formula1>3</formula1>
      <formula2>9999999</formula2>
    </dataValidation>
    <dataValidation type="decimal" errorStyle="warning" allowBlank="1" showInputMessage="1" showErrorMessage="1" errorTitle="Use Rate Error" error="Must be between 4.4000 and 15.0000" sqref="P28" xr:uid="{00000000-0002-0000-0200-00000A000000}">
      <formula1>4.4</formula1>
      <formula2>15</formula2>
    </dataValidation>
    <dataValidation type="whole" allowBlank="1" showInputMessage="1" showErrorMessage="1" errorTitle="# Units Error" error="Must be between 1 and 5" sqref="F29 F31 F45" xr:uid="{00000000-0002-0000-0200-00000B000000}">
      <formula1>1</formula1>
      <formula2>5</formula2>
    </dataValidation>
    <dataValidation type="decimal" errorStyle="warning" allowBlank="1" showInputMessage="1" showErrorMessage="1" errorTitle="Use Rate Error" error="Must be between 0.1950 and 0.3900" sqref="P29:P30" xr:uid="{00000000-0002-0000-0200-00000C000000}">
      <formula1>0.195</formula1>
      <formula2>0.39</formula2>
    </dataValidation>
    <dataValidation type="whole" allowBlank="1" showInputMessage="1" showErrorMessage="1" errorTitle="# Units Error" error="Must be greater than 6." sqref="F30 F32 F46" xr:uid="{00000000-0002-0000-0200-00000D000000}">
      <formula1>6</formula1>
      <formula2>9999999</formula2>
    </dataValidation>
    <dataValidation type="decimal" errorStyle="warning" allowBlank="1" showInputMessage="1" showErrorMessage="1" errorTitle="Use Rate Error" error="Must be between 2.0000 and 7.0000" sqref="P31:P32" xr:uid="{00000000-0002-0000-0200-00000E000000}">
      <formula1>2</formula1>
      <formula2>7</formula2>
    </dataValidation>
    <dataValidation type="decimal" errorStyle="warning" allowBlank="1" showInputMessage="1" showErrorMessage="1" errorTitle="Use Rate Error" error="Must be between 0.1470 and 0.1970" sqref="P33 P63" xr:uid="{00000000-0002-0000-0200-00000F000000}">
      <formula1>0.147</formula1>
      <formula2>0.197</formula2>
    </dataValidation>
    <dataValidation type="decimal" errorStyle="warning" allowBlank="1" showInputMessage="1" showErrorMessage="1" errorTitle="Use Rate Error" error="Must be between 1.0000 and 2.0000" sqref="P34 P45:P46" xr:uid="{00000000-0002-0000-0200-000010000000}">
      <formula1>1</formula1>
      <formula2>2</formula2>
    </dataValidation>
    <dataValidation type="decimal" errorStyle="warning" allowBlank="1" showInputMessage="1" showErrorMessage="1" errorTitle="Use Rate Error" error="Must be between 0.1000 and 0.8000" sqref="P35 P67" xr:uid="{00000000-0002-0000-0200-000011000000}">
      <formula1>0.1</formula1>
      <formula2>0.8</formula2>
    </dataValidation>
    <dataValidation type="whole" allowBlank="1" showInputMessage="1" showErrorMessage="1" errorTitle="# Units Error" error="Must be between 1 and 11" sqref="F36" xr:uid="{00000000-0002-0000-0200-000012000000}">
      <formula1>1</formula1>
      <formula2>11</formula2>
    </dataValidation>
    <dataValidation type="decimal" errorStyle="warning" allowBlank="1" showInputMessage="1" showErrorMessage="1" errorTitle="Use Rate Error" error="Must be between 1.8500 and 2.8000" sqref="P36:P38" xr:uid="{00000000-0002-0000-0200-000013000000}">
      <formula1>1.85</formula1>
      <formula2>2.8</formula2>
    </dataValidation>
    <dataValidation type="whole" allowBlank="1" showInputMessage="1" showErrorMessage="1" errorTitle="# Units Error" error="Must be between 12 and 39" sqref="F37" xr:uid="{00000000-0002-0000-0200-000014000000}">
      <formula1>12</formula1>
      <formula2>39</formula2>
    </dataValidation>
    <dataValidation type="whole" allowBlank="1" showInputMessage="1" showErrorMessage="1" errorTitle="# Units Error" error="Must be greater than 40." sqref="F38" xr:uid="{00000000-0002-0000-0200-000015000000}">
      <formula1>40</formula1>
      <formula2>9999999</formula2>
    </dataValidation>
    <dataValidation type="whole" allowBlank="1" showInputMessage="1" showErrorMessage="1" errorTitle="# Units Error" error="Must be between 1 and 3" sqref="F39" xr:uid="{00000000-0002-0000-0200-000016000000}">
      <formula1>1</formula1>
      <formula2>3</formula2>
    </dataValidation>
    <dataValidation type="decimal" errorStyle="warning" allowBlank="1" showInputMessage="1" showErrorMessage="1" errorTitle="Use Rate Error" error="Must be between 0.0680 and 0.2300" sqref="P39:P43" xr:uid="{00000000-0002-0000-0200-000017000000}">
      <formula1>0.068</formula1>
      <formula2>0.23</formula2>
    </dataValidation>
    <dataValidation type="whole" allowBlank="1" showInputMessage="1" showErrorMessage="1" errorTitle="# Units Error" error="Must be between 4 and 13" sqref="F40" xr:uid="{00000000-0002-0000-0200-000018000000}">
      <formula1>4</formula1>
      <formula2>13</formula2>
    </dataValidation>
    <dataValidation type="whole" allowBlank="1" showInputMessage="1" showErrorMessage="1" errorTitle="# Units Error" error="Must be between 14 and 25" sqref="F41" xr:uid="{00000000-0002-0000-0200-000019000000}">
      <formula1>14</formula1>
      <formula2>25</formula2>
    </dataValidation>
    <dataValidation type="whole" allowBlank="1" showInputMessage="1" showErrorMessage="1" errorTitle="# Units Error" error="Must be greater than 26." sqref="F42" xr:uid="{00000000-0002-0000-0200-00001A000000}">
      <formula1>26</formula1>
      <formula2>9999999</formula2>
    </dataValidation>
    <dataValidation type="decimal" errorStyle="warning" allowBlank="1" showInputMessage="1" showErrorMessage="1" errorTitle="Use Rate Error" error="Must be between 2.3000 and 4.6000" sqref="P44" xr:uid="{00000000-0002-0000-0200-00001B000000}">
      <formula1>2.3</formula1>
      <formula2>4.6</formula2>
    </dataValidation>
    <dataValidation type="decimal" errorStyle="warning" allowBlank="1" showInputMessage="1" showErrorMessage="1" errorTitle="Use Rate Error" error="Must be between 2.0000 and 2.0000" sqref="P47" xr:uid="{00000000-0002-0000-0200-00001C000000}">
      <formula1>2</formula1>
      <formula2>2</formula2>
    </dataValidation>
    <dataValidation type="decimal" errorStyle="warning" allowBlank="1" showInputMessage="1" showErrorMessage="1" errorTitle="Use Rate Error" error="Must be between 0.0230 and 0.0730" sqref="P48" xr:uid="{00000000-0002-0000-0200-00001D000000}">
      <formula1>0.023</formula1>
      <formula2>0.073</formula2>
    </dataValidation>
    <dataValidation type="decimal" errorStyle="warning" allowBlank="1" showInputMessage="1" showErrorMessage="1" errorTitle="Use Rate Error" error="Must be between 2.0000 and 8.0000" sqref="P53 P55" xr:uid="{00000000-0002-0000-0200-00001E000000}">
      <formula1>2</formula1>
      <formula2>8</formula2>
    </dataValidation>
    <dataValidation type="decimal" errorStyle="warning" allowBlank="1" showInputMessage="1" showErrorMessage="1" errorTitle="Use Rate Error" error="Must be between 0.6000 and 1.5000" sqref="P54" xr:uid="{00000000-0002-0000-0200-00001F000000}">
      <formula1>0.6</formula1>
      <formula2>1.5</formula2>
    </dataValidation>
    <dataValidation type="decimal" errorStyle="warning" allowBlank="1" showInputMessage="1" showErrorMessage="1" errorTitle="Use Rate Error" error="Must be between 0.7500 and 6.0000" sqref="P56" xr:uid="{00000000-0002-0000-0200-000020000000}">
      <formula1>0.75</formula1>
      <formula2>6</formula2>
    </dataValidation>
    <dataValidation type="decimal" errorStyle="warning" allowBlank="1" showInputMessage="1" showErrorMessage="1" errorTitle="Use Rate Error" error="Must be between 0.1000 and 0.2500" sqref="P58" xr:uid="{00000000-0002-0000-0200-000021000000}">
      <formula1>0.1</formula1>
      <formula2>0.25</formula2>
    </dataValidation>
    <dataValidation type="decimal" errorStyle="warning" allowBlank="1" showInputMessage="1" showErrorMessage="1" errorTitle="Use Rate Error" error="Must be between 0.0320 and 0.0900" sqref="P60" xr:uid="{00000000-0002-0000-0200-000022000000}">
      <formula1>0.032</formula1>
      <formula2>0.09</formula2>
    </dataValidation>
    <dataValidation type="decimal" errorStyle="warning" allowBlank="1" showInputMessage="1" showErrorMessage="1" errorTitle="Use Rate Error" error="Must be between 1.4000 and 1.8000" sqref="P61" xr:uid="{00000000-0002-0000-0200-000023000000}">
      <formula1>1.4</formula1>
      <formula2>1.8</formula2>
    </dataValidation>
    <dataValidation type="decimal" errorStyle="warning" allowBlank="1" showInputMessage="1" showErrorMessage="1" errorTitle="Use Rate Error" error="Must be between 0.4600 and 0.6000" sqref="P62" xr:uid="{00000000-0002-0000-0200-000024000000}">
      <formula1>0.46</formula1>
      <formula2>0.6</formula2>
    </dataValidation>
    <dataValidation type="decimal" errorStyle="warning" allowBlank="1" showInputMessage="1" showErrorMessage="1" errorTitle="Use Rate Error" error="Must be between 1.0000 and 4.5000" sqref="P64" xr:uid="{00000000-0002-0000-0200-000025000000}">
      <formula1>1</formula1>
      <formula2>4.5</formula2>
    </dataValidation>
    <dataValidation type="decimal" errorStyle="warning" allowBlank="1" showInputMessage="1" showErrorMessage="1" errorTitle="Use Rate Error" error="Must be between 1.5000 and 4.5000" sqref="P65" xr:uid="{00000000-0002-0000-0200-000026000000}">
      <formula1>1.5</formula1>
      <formula2>4.5</formula2>
    </dataValidation>
    <dataValidation type="decimal" errorStyle="warning" allowBlank="1" showInputMessage="1" showErrorMessage="1" errorTitle="Use Rate Error" error="Must be between 5.0000 and 5.0000" sqref="P66" xr:uid="{00000000-0002-0000-0200-000027000000}">
      <formula1>5</formula1>
      <formula2>5</formula2>
    </dataValidation>
    <dataValidation type="decimal" errorStyle="warning" allowBlank="1" showInputMessage="1" showErrorMessage="1" errorTitle="Use Rate Error" error="Must be between 2.0000 and 10.0000" sqref="P68" xr:uid="{00000000-0002-0000-0200-000028000000}">
      <formula1>2</formula1>
      <formula2>10</formula2>
    </dataValidation>
    <dataValidation type="decimal" errorStyle="warning" allowBlank="1" showInputMessage="1" showErrorMessage="1" errorTitle="Use Rate Error" error="Must be between 5.3300 and 10.6700" sqref="P69" xr:uid="{00000000-0002-0000-0200-000029000000}">
      <formula1>5.33</formula1>
      <formula2>10.67</formula2>
    </dataValidation>
    <dataValidation type="decimal" errorStyle="warning" allowBlank="1" showInputMessage="1" showErrorMessage="1" errorTitle="Use Rate Error" error="Must be between 16.0000 and 16.0000" sqref="P70" xr:uid="{00000000-0002-0000-0200-00002A000000}">
      <formula1>16</formula1>
      <formula2>16</formula2>
    </dataValidation>
    <dataValidation type="decimal" errorStyle="warning" allowBlank="1" showInputMessage="1" showErrorMessage="1" errorTitle="Use Rate Error" error="Must be between 0.1380 and 0.2750" sqref="P71:P72" xr:uid="{00000000-0002-0000-0200-00002B000000}">
      <formula1>0.138</formula1>
      <formula2>0.275</formula2>
    </dataValidation>
    <dataValidation type="decimal" errorStyle="warning" allowBlank="1" showInputMessage="1" showErrorMessage="1" errorTitle="Use Rate Error" error="Must be between 0.1770 and 0.3540" sqref="P73" xr:uid="{00000000-0002-0000-0200-00002C000000}">
      <formula1>0.177</formula1>
      <formula2>0.354</formula2>
    </dataValidation>
    <dataValidation type="decimal" errorStyle="warning" allowBlank="1" showInputMessage="1" showErrorMessage="1" errorTitle="Use Rate Error" error="Must be between 0.1760 and 0.3520" sqref="P74" xr:uid="{00000000-0002-0000-0200-00002D000000}">
      <formula1>0.176</formula1>
      <formula2>0.352</formula2>
    </dataValidation>
  </dataValidations>
  <pageMargins left="0.75" right="0.75" top="0.75" bottom="0.5" header="0.5" footer="0.75"/>
  <pageSetup orientation="portrait" horizontalDpi="1200" verticalDpi="1200" r:id="rId1"/>
  <headerFooter>
    <oddFooter>&amp;R&amp;1#&amp;"Calibri"&amp;22&amp;KFF8939RESTRICTED</oddFooter>
  </headerFooter>
  <customProperties>
    <customPr name="_pios_id" r:id="rId2"/>
  </customProperties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M101"/>
  <sheetViews>
    <sheetView workbookViewId="0">
      <selection activeCell="F21" sqref="F21"/>
    </sheetView>
  </sheetViews>
  <sheetFormatPr baseColWidth="10" defaultColWidth="9.1640625" defaultRowHeight="14" x14ac:dyDescent="0.2"/>
  <cols>
    <col min="1" max="1" width="8.5" style="1" customWidth="1"/>
    <col min="2" max="2" width="8.1640625" style="1" customWidth="1"/>
    <col min="3" max="3" width="15.6640625" style="1" hidden="1" customWidth="1"/>
    <col min="4" max="4" width="40.6640625" style="1" customWidth="1"/>
    <col min="5" max="5" width="20.6640625" style="1" customWidth="1"/>
    <col min="6" max="6" width="9.1640625" style="2" customWidth="1"/>
    <col min="7" max="8" width="12.6640625" style="4" hidden="1" customWidth="1"/>
    <col min="9" max="9" width="12.6640625" style="4" customWidth="1"/>
    <col min="10" max="10" width="15.6640625" style="4" customWidth="1"/>
    <col min="11" max="11" width="15.6640625" style="3" customWidth="1"/>
    <col min="12" max="13" width="15.6640625" style="4" customWidth="1"/>
    <col min="14" max="14" width="9.1640625" style="4" hidden="1" customWidth="1"/>
    <col min="15" max="15" width="15.6640625" style="4" hidden="1" customWidth="1"/>
    <col min="16" max="16" width="9.6640625" style="15" customWidth="1"/>
    <col min="17" max="18" width="9.6640625" style="16" customWidth="1"/>
    <col min="19" max="19" width="15.6640625" style="15" customWidth="1"/>
    <col min="20" max="21" width="15.6640625" style="15" hidden="1" customWidth="1"/>
    <col min="22" max="22" width="10.6640625" style="15" hidden="1" customWidth="1"/>
    <col min="23" max="25" width="15.6640625" style="15" hidden="1" customWidth="1"/>
    <col min="26" max="27" width="15.6640625" style="15" customWidth="1"/>
    <col min="28" max="30" width="15.6640625" style="15" hidden="1" customWidth="1"/>
    <col min="31" max="31" width="15.6640625" style="4" hidden="1" customWidth="1"/>
    <col min="32" max="32" width="15.6640625" style="1" hidden="1" customWidth="1"/>
    <col min="33" max="33" width="2.83203125" style="1" customWidth="1"/>
    <col min="34" max="34" width="40.6640625" style="1" customWidth="1"/>
    <col min="35" max="35" width="15.6640625" style="1" customWidth="1"/>
    <col min="36" max="36" width="10.6640625" style="2" customWidth="1"/>
    <col min="37" max="37" width="10.6640625" style="1" customWidth="1"/>
    <col min="38" max="38" width="10.6640625" style="15" customWidth="1"/>
    <col min="39" max="39" width="10.6640625" style="16" customWidth="1"/>
    <col min="40" max="40" width="9.1640625" style="1" customWidth="1"/>
    <col min="41" max="16384" width="9.1640625" style="1"/>
  </cols>
  <sheetData>
    <row r="1" spans="2:39" s="17" customFormat="1" ht="56.25" customHeight="1" x14ac:dyDescent="0.2">
      <c r="B1" s="120" t="s">
        <v>252</v>
      </c>
      <c r="C1" s="120"/>
      <c r="D1" s="120"/>
      <c r="E1" s="120"/>
      <c r="F1" s="121"/>
      <c r="G1" s="122"/>
      <c r="H1" s="122"/>
      <c r="I1" s="122"/>
      <c r="J1" s="122"/>
      <c r="K1" s="123"/>
      <c r="L1" s="122"/>
      <c r="M1" s="122"/>
      <c r="N1" s="122"/>
      <c r="O1" s="122"/>
      <c r="P1" s="124"/>
      <c r="Q1" s="125"/>
      <c r="R1" s="125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2"/>
      <c r="AJ1" s="18"/>
      <c r="AL1" s="19"/>
      <c r="AM1" s="20"/>
    </row>
    <row r="3" spans="2:39" x14ac:dyDescent="0.2">
      <c r="B3" s="145" t="s">
        <v>38</v>
      </c>
      <c r="C3" s="127"/>
      <c r="D3" s="127"/>
      <c r="E3" s="128"/>
    </row>
    <row r="4" spans="2:39" x14ac:dyDescent="0.2">
      <c r="B4" s="129"/>
      <c r="C4" s="127"/>
      <c r="D4" s="127"/>
      <c r="E4" s="128"/>
    </row>
    <row r="5" spans="2:39" x14ac:dyDescent="0.2">
      <c r="B5" s="146" t="s">
        <v>39</v>
      </c>
      <c r="C5" s="131"/>
      <c r="D5" s="131"/>
      <c r="E5" s="132"/>
    </row>
    <row r="6" spans="2:39" x14ac:dyDescent="0.2">
      <c r="B6" s="133"/>
      <c r="C6" s="131"/>
      <c r="D6" s="131"/>
      <c r="E6" s="132"/>
    </row>
    <row r="7" spans="2:39" x14ac:dyDescent="0.2">
      <c r="B7" s="147" t="s">
        <v>253</v>
      </c>
      <c r="C7" s="135"/>
      <c r="D7" s="135"/>
      <c r="E7" s="136"/>
    </row>
    <row r="8" spans="2:39" x14ac:dyDescent="0.2">
      <c r="B8" s="147" t="s">
        <v>254</v>
      </c>
      <c r="C8" s="135"/>
      <c r="D8" s="135"/>
      <c r="E8" s="136"/>
    </row>
    <row r="9" spans="2:39" x14ac:dyDescent="0.2">
      <c r="B9" s="143" t="s">
        <v>255</v>
      </c>
      <c r="C9" s="138"/>
      <c r="D9" s="138"/>
      <c r="E9" s="139"/>
    </row>
    <row r="10" spans="2:39" x14ac:dyDescent="0.2">
      <c r="B10" s="144" t="s">
        <v>256</v>
      </c>
      <c r="C10" s="141"/>
      <c r="D10" s="141"/>
      <c r="E10" s="141"/>
    </row>
    <row r="11" spans="2:39" x14ac:dyDescent="0.2">
      <c r="B11" s="144" t="s">
        <v>257</v>
      </c>
      <c r="C11" s="141"/>
      <c r="D11" s="141"/>
      <c r="E11" s="141"/>
    </row>
    <row r="14" spans="2:39" x14ac:dyDescent="0.2">
      <c r="B14" s="79" t="s">
        <v>45</v>
      </c>
      <c r="C14" s="79"/>
      <c r="D14" s="79"/>
      <c r="E14" s="79"/>
      <c r="AH14" s="79" t="s">
        <v>46</v>
      </c>
      <c r="AI14" s="79"/>
      <c r="AJ14" s="113"/>
      <c r="AK14" s="79"/>
      <c r="AL14" s="114"/>
      <c r="AM14" s="115"/>
    </row>
    <row r="15" spans="2:39" x14ac:dyDescent="0.2">
      <c r="B15" s="79"/>
      <c r="C15" s="79"/>
      <c r="D15" s="79"/>
      <c r="E15" s="79"/>
      <c r="AH15" s="79"/>
      <c r="AI15" s="79"/>
      <c r="AJ15" s="113"/>
      <c r="AK15" s="79"/>
      <c r="AL15" s="114"/>
      <c r="AM15" s="115"/>
    </row>
    <row r="16" spans="2:39" x14ac:dyDescent="0.2">
      <c r="AH16" s="116" t="s">
        <v>258</v>
      </c>
      <c r="AI16" s="116"/>
      <c r="AJ16" s="117"/>
      <c r="AK16" s="116"/>
      <c r="AL16" s="118"/>
      <c r="AM16" s="119"/>
    </row>
    <row r="17" spans="2:39" x14ac:dyDescent="0.2">
      <c r="B17" s="90" t="s">
        <v>48</v>
      </c>
      <c r="C17" s="90"/>
      <c r="D17" s="90"/>
      <c r="E17" s="90"/>
      <c r="F17" s="91"/>
      <c r="G17" s="92"/>
      <c r="H17" s="92"/>
      <c r="I17" s="92"/>
      <c r="J17" s="92"/>
      <c r="K17" s="93"/>
      <c r="L17" s="92"/>
      <c r="M17" s="92"/>
      <c r="N17" s="92"/>
      <c r="O17" s="92"/>
      <c r="P17" s="94"/>
      <c r="Q17" s="95"/>
      <c r="R17" s="95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2"/>
      <c r="AF17" s="21"/>
      <c r="AH17" s="116"/>
      <c r="AI17" s="116"/>
      <c r="AJ17" s="117"/>
      <c r="AK17" s="116"/>
      <c r="AL17" s="118"/>
      <c r="AM17" s="119"/>
    </row>
    <row r="18" spans="2:39" x14ac:dyDescent="0.2">
      <c r="B18" s="87" t="s">
        <v>49</v>
      </c>
      <c r="C18" s="97" t="s">
        <v>6</v>
      </c>
      <c r="D18" s="97" t="s">
        <v>7</v>
      </c>
      <c r="E18" s="97" t="s">
        <v>50</v>
      </c>
      <c r="F18" s="142" t="s">
        <v>51</v>
      </c>
      <c r="G18" s="84" t="s">
        <v>52</v>
      </c>
      <c r="H18" s="84" t="s">
        <v>53</v>
      </c>
      <c r="I18" s="101" t="s">
        <v>54</v>
      </c>
      <c r="J18" s="101" t="s">
        <v>55</v>
      </c>
      <c r="K18" s="104" t="s">
        <v>11</v>
      </c>
      <c r="L18" s="84" t="s">
        <v>56</v>
      </c>
      <c r="M18" s="101" t="s">
        <v>57</v>
      </c>
      <c r="N18" s="84" t="s">
        <v>58</v>
      </c>
      <c r="O18" s="84" t="s">
        <v>59</v>
      </c>
      <c r="P18" s="81" t="s">
        <v>60</v>
      </c>
      <c r="Q18" s="110" t="s">
        <v>61</v>
      </c>
      <c r="R18" s="110" t="s">
        <v>62</v>
      </c>
      <c r="S18" s="81" t="s">
        <v>63</v>
      </c>
      <c r="T18" s="81" t="s">
        <v>64</v>
      </c>
      <c r="U18" s="81" t="s">
        <v>65</v>
      </c>
      <c r="V18" s="81" t="s">
        <v>66</v>
      </c>
      <c r="W18" s="81" t="s">
        <v>67</v>
      </c>
      <c r="X18" s="81" t="s">
        <v>68</v>
      </c>
      <c r="Y18" s="81" t="s">
        <v>69</v>
      </c>
      <c r="Z18" s="81" t="s">
        <v>2</v>
      </c>
      <c r="AA18" s="81" t="s">
        <v>70</v>
      </c>
      <c r="AB18" s="81" t="s">
        <v>71</v>
      </c>
      <c r="AC18" s="81" t="s">
        <v>72</v>
      </c>
      <c r="AD18" s="81" t="s">
        <v>73</v>
      </c>
      <c r="AE18" s="84" t="s">
        <v>49</v>
      </c>
      <c r="AF18" s="87" t="s">
        <v>74</v>
      </c>
      <c r="AH18" s="116"/>
      <c r="AI18" s="116"/>
      <c r="AJ18" s="117"/>
      <c r="AK18" s="116"/>
      <c r="AL18" s="118"/>
      <c r="AM18" s="119"/>
    </row>
    <row r="19" spans="2:39" x14ac:dyDescent="0.2">
      <c r="B19" s="88"/>
      <c r="C19" s="88"/>
      <c r="D19" s="88"/>
      <c r="E19" s="88"/>
      <c r="F19" s="99"/>
      <c r="G19" s="85"/>
      <c r="H19" s="85"/>
      <c r="I19" s="85"/>
      <c r="J19" s="85"/>
      <c r="K19" s="105"/>
      <c r="L19" s="85"/>
      <c r="M19" s="85"/>
      <c r="N19" s="85"/>
      <c r="O19" s="85"/>
      <c r="P19" s="108"/>
      <c r="Q19" s="111"/>
      <c r="R19" s="111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5"/>
      <c r="AF19" s="88"/>
    </row>
    <row r="20" spans="2:39" x14ac:dyDescent="0.2">
      <c r="B20" s="88"/>
      <c r="C20" s="88"/>
      <c r="D20" s="88"/>
      <c r="E20" s="88"/>
      <c r="F20" s="99"/>
      <c r="G20" s="85"/>
      <c r="H20" s="85"/>
      <c r="I20" s="85"/>
      <c r="J20" s="85"/>
      <c r="K20" s="105"/>
      <c r="L20" s="85"/>
      <c r="M20" s="85"/>
      <c r="N20" s="85"/>
      <c r="O20" s="85"/>
      <c r="P20" s="108"/>
      <c r="Q20" s="111"/>
      <c r="R20" s="111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5"/>
      <c r="AF20" s="88"/>
      <c r="AH20" s="71" t="s">
        <v>75</v>
      </c>
      <c r="AI20" s="71"/>
      <c r="AJ20" s="72"/>
      <c r="AK20" s="71"/>
      <c r="AL20" s="73"/>
      <c r="AM20" s="74"/>
    </row>
    <row r="21" spans="2:39" x14ac:dyDescent="0.2">
      <c r="B21" s="24"/>
      <c r="C21" s="25" t="s">
        <v>76</v>
      </c>
      <c r="D21" s="25" t="s">
        <v>77</v>
      </c>
      <c r="E21" s="25" t="s">
        <v>78</v>
      </c>
      <c r="F21" s="26"/>
      <c r="G21" s="27">
        <v>334.57575000000003</v>
      </c>
      <c r="H21" s="27" t="str">
        <f t="shared" ref="H21:H52" si="0">IF(F21*G21= 0,"",F21*G21)</f>
        <v/>
      </c>
      <c r="I21" s="27">
        <v>334.57575000000003</v>
      </c>
      <c r="J21" s="27" t="str">
        <f t="shared" ref="J21:J52" si="1">IF(F21*I21= 0,"",F21*I21)</f>
        <v/>
      </c>
      <c r="K21" s="28">
        <f t="shared" ref="K21:K52" si="2">IF(AND(AD21 &lt;&gt; "", SUM(S21:AC21) &lt;= AD21), SUM(S21:AC21), AD21)</f>
        <v>0</v>
      </c>
      <c r="L21" s="27" t="str">
        <f t="shared" ref="L21:L52" si="3">IF(F21 ="","",F21*K21*N21)</f>
        <v/>
      </c>
      <c r="M21" s="27" t="str">
        <f t="shared" ref="M21:M52" si="4">IF(AND(F21&lt;&gt;"",F21&gt;0),((J21/F21)-(L21/F21)),"")</f>
        <v/>
      </c>
      <c r="N21" s="27">
        <v>0</v>
      </c>
      <c r="O21" s="27" t="str">
        <f t="shared" ref="O21:O52" si="5">IF(AND(F21&lt;&gt;"",F21&gt;0), F21*M21,"")</f>
        <v/>
      </c>
      <c r="P21" s="29">
        <v>0.16</v>
      </c>
      <c r="Q21" s="30">
        <f t="shared" ref="Q21:Q52" si="6">P21*43.56</f>
        <v>6.9696000000000007</v>
      </c>
      <c r="R21" s="30" t="str">
        <f>IF(AND(TRIM(Q21)&lt;&gt;"",TRIM(F21)&lt;&gt;""),(F21*64)/Q21,"")</f>
        <v/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27">
        <f t="shared" ref="AE21:AE52" si="7">IF(F21 = "",0,N21*F21)</f>
        <v>0</v>
      </c>
      <c r="AF21" s="25"/>
      <c r="AH21" s="71"/>
      <c r="AI21" s="71"/>
      <c r="AJ21" s="72"/>
      <c r="AK21" s="71"/>
      <c r="AL21" s="73"/>
      <c r="AM21" s="74"/>
    </row>
    <row r="22" spans="2:39" x14ac:dyDescent="0.2">
      <c r="B22" s="24">
        <v>1</v>
      </c>
      <c r="C22" s="25" t="s">
        <v>14</v>
      </c>
      <c r="D22" s="25" t="s">
        <v>15</v>
      </c>
      <c r="E22" s="25" t="s">
        <v>16</v>
      </c>
      <c r="F22" s="26"/>
      <c r="G22" s="27">
        <v>1006.1944</v>
      </c>
      <c r="H22" s="27" t="str">
        <f t="shared" si="0"/>
        <v/>
      </c>
      <c r="I22" s="27">
        <v>1006.1944</v>
      </c>
      <c r="J22" s="27" t="str">
        <f t="shared" si="1"/>
        <v/>
      </c>
      <c r="K22" s="28">
        <f t="shared" ca="1" si="2"/>
        <v>0</v>
      </c>
      <c r="L22" s="27" t="str">
        <f t="shared" si="3"/>
        <v/>
      </c>
      <c r="M22" s="27" t="str">
        <f t="shared" si="4"/>
        <v/>
      </c>
      <c r="N22" s="27">
        <v>999.2</v>
      </c>
      <c r="O22" s="27" t="str">
        <f t="shared" si="5"/>
        <v/>
      </c>
      <c r="P22" s="29">
        <v>2</v>
      </c>
      <c r="Q22" s="30">
        <f t="shared" si="6"/>
        <v>87.12</v>
      </c>
      <c r="R22" s="30" t="str">
        <f>IF(AND(TRIM(Q22)&lt;&gt;"",TRIM(F22)&lt;&gt;""),(F22*319.999849189052)/Q22,"")</f>
        <v/>
      </c>
      <c r="S22" s="31" t="str">
        <f ca="1">IF(AND(F22 &lt;&gt;"",F22&gt;0), IFERROR(VLOOKUP(F22,INDIRECT(AF22),3,TRUE),0), "")</f>
        <v/>
      </c>
      <c r="T22" s="31"/>
      <c r="U22" s="31"/>
      <c r="V22" s="31"/>
      <c r="W22" s="31"/>
      <c r="X22" s="31"/>
      <c r="Y22" s="31"/>
      <c r="Z22" s="31" t="str">
        <f>IF(AND(B22 = 1, F22 &lt;&gt;""), Z82,"")</f>
        <v/>
      </c>
      <c r="AA22" s="31" t="str">
        <f>IF(F22 = "", "", IF(OR(AND(AND(F22 &gt;= 4, F22 &lt;= 999999), AND(SUM(F27) &gt;= 3, SUM(F27) &lt; 999999)),AND(AND(F22 &gt;= 4, F22 &lt;= 999999), AND(SUM(F42) &gt;= 24, SUM(F42) &lt; 999999))), 0.025020016012,""))</f>
        <v/>
      </c>
      <c r="AB22" s="31"/>
      <c r="AC22" s="31"/>
      <c r="AD22" s="31">
        <v>1</v>
      </c>
      <c r="AE22" s="27">
        <f t="shared" si="7"/>
        <v>0</v>
      </c>
      <c r="AF22" s="25" t="s">
        <v>79</v>
      </c>
      <c r="AH22" s="75"/>
      <c r="AI22" s="75"/>
      <c r="AJ22" s="76"/>
      <c r="AK22" s="75"/>
      <c r="AL22" s="77"/>
      <c r="AM22" s="78"/>
    </row>
    <row r="23" spans="2:39" x14ac:dyDescent="0.2">
      <c r="B23" s="24"/>
      <c r="C23" s="25" t="s">
        <v>80</v>
      </c>
      <c r="D23" s="25" t="s">
        <v>81</v>
      </c>
      <c r="E23" s="25" t="s">
        <v>16</v>
      </c>
      <c r="F23" s="26"/>
      <c r="G23" s="27">
        <v>1394.6949999999999</v>
      </c>
      <c r="H23" s="27" t="str">
        <f t="shared" si="0"/>
        <v/>
      </c>
      <c r="I23" s="27">
        <v>1394.6949999999999</v>
      </c>
      <c r="J23" s="27" t="str">
        <f t="shared" si="1"/>
        <v/>
      </c>
      <c r="K23" s="28">
        <f t="shared" si="2"/>
        <v>0</v>
      </c>
      <c r="L23" s="27" t="str">
        <f t="shared" si="3"/>
        <v/>
      </c>
      <c r="M23" s="27" t="str">
        <f t="shared" si="4"/>
        <v/>
      </c>
      <c r="N23" s="27">
        <v>0</v>
      </c>
      <c r="O23" s="27" t="str">
        <f t="shared" si="5"/>
        <v/>
      </c>
      <c r="P23" s="29">
        <v>1</v>
      </c>
      <c r="Q23" s="30">
        <f t="shared" si="6"/>
        <v>43.56</v>
      </c>
      <c r="R23" s="30" t="str">
        <f>IF(AND(TRIM(Q23)&lt;&gt;"",TRIM(F23)&lt;&gt;""),(F23*319.999849189052)/Q23,"")</f>
        <v/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27">
        <f t="shared" si="7"/>
        <v>0</v>
      </c>
      <c r="AF23" s="25"/>
      <c r="AH23" s="75"/>
      <c r="AI23" s="75"/>
      <c r="AJ23" s="76"/>
      <c r="AK23" s="75"/>
      <c r="AL23" s="77"/>
      <c r="AM23" s="78"/>
    </row>
    <row r="24" spans="2:39" x14ac:dyDescent="0.2">
      <c r="B24" s="24"/>
      <c r="C24" s="25" t="s">
        <v>82</v>
      </c>
      <c r="D24" s="25" t="s">
        <v>83</v>
      </c>
      <c r="E24" s="25" t="s">
        <v>84</v>
      </c>
      <c r="F24" s="26"/>
      <c r="G24" s="27">
        <v>108.40355</v>
      </c>
      <c r="H24" s="27" t="str">
        <f t="shared" si="0"/>
        <v/>
      </c>
      <c r="I24" s="27">
        <v>108.40355</v>
      </c>
      <c r="J24" s="27" t="str">
        <f t="shared" si="1"/>
        <v/>
      </c>
      <c r="K24" s="28">
        <f t="shared" si="2"/>
        <v>0</v>
      </c>
      <c r="L24" s="27" t="str">
        <f t="shared" si="3"/>
        <v/>
      </c>
      <c r="M24" s="27" t="str">
        <f t="shared" si="4"/>
        <v/>
      </c>
      <c r="N24" s="27">
        <v>0</v>
      </c>
      <c r="O24" s="27" t="str">
        <f t="shared" si="5"/>
        <v/>
      </c>
      <c r="P24" s="29">
        <v>8.5000000000000006E-2</v>
      </c>
      <c r="Q24" s="30">
        <f t="shared" si="6"/>
        <v>3.7026000000000003</v>
      </c>
      <c r="R24" s="30" t="str">
        <f>IF(AND(TRIM(Q24)&lt;&gt;"",TRIM(F24)&lt;&gt;""),(F24*10)/Q24,"")</f>
        <v/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27">
        <f t="shared" si="7"/>
        <v>0</v>
      </c>
      <c r="AF24" s="25"/>
      <c r="AH24" s="63"/>
      <c r="AI24" s="63"/>
      <c r="AJ24" s="64"/>
      <c r="AK24" s="63"/>
      <c r="AL24" s="65"/>
      <c r="AM24" s="66"/>
    </row>
    <row r="25" spans="2:39" ht="27" x14ac:dyDescent="0.2">
      <c r="B25" s="24">
        <v>1</v>
      </c>
      <c r="C25" s="25" t="s">
        <v>85</v>
      </c>
      <c r="D25" s="25" t="s">
        <v>86</v>
      </c>
      <c r="E25" s="25" t="s">
        <v>84</v>
      </c>
      <c r="F25" s="26"/>
      <c r="G25" s="27">
        <v>148.029</v>
      </c>
      <c r="H25" s="27" t="str">
        <f t="shared" si="0"/>
        <v/>
      </c>
      <c r="I25" s="27">
        <v>148.029</v>
      </c>
      <c r="J25" s="27" t="str">
        <f t="shared" si="1"/>
        <v/>
      </c>
      <c r="K25" s="28">
        <f t="shared" si="2"/>
        <v>0</v>
      </c>
      <c r="L25" s="27" t="str">
        <f t="shared" si="3"/>
        <v/>
      </c>
      <c r="M25" s="27" t="str">
        <f t="shared" si="4"/>
        <v/>
      </c>
      <c r="N25" s="27">
        <v>147</v>
      </c>
      <c r="O25" s="27" t="str">
        <f t="shared" si="5"/>
        <v/>
      </c>
      <c r="P25" s="29">
        <v>0.17</v>
      </c>
      <c r="Q25" s="30">
        <f t="shared" si="6"/>
        <v>7.4052000000000007</v>
      </c>
      <c r="R25" s="30" t="str">
        <f>IF(AND(TRIM(Q25)&lt;&gt;"",TRIM(F25)&lt;&gt;""),(F25*10)/Q25,"")</f>
        <v/>
      </c>
      <c r="S25" s="31"/>
      <c r="T25" s="31"/>
      <c r="U25" s="31"/>
      <c r="V25" s="31"/>
      <c r="W25" s="31"/>
      <c r="X25" s="31"/>
      <c r="Y25" s="31"/>
      <c r="Z25" s="31" t="str">
        <f>IF(AND(B25 = 1, F25 &lt;&gt;""), Z82,"")</f>
        <v/>
      </c>
      <c r="AA25" s="31"/>
      <c r="AB25" s="31"/>
      <c r="AC25" s="31"/>
      <c r="AD25" s="31">
        <v>1</v>
      </c>
      <c r="AE25" s="27">
        <f t="shared" si="7"/>
        <v>0</v>
      </c>
      <c r="AF25" s="25"/>
      <c r="AH25" s="32" t="s">
        <v>87</v>
      </c>
      <c r="AI25" s="33" t="s">
        <v>50</v>
      </c>
      <c r="AJ25" s="34" t="s">
        <v>51</v>
      </c>
      <c r="AK25" s="33" t="s">
        <v>88</v>
      </c>
      <c r="AL25" s="35" t="s">
        <v>60</v>
      </c>
      <c r="AM25" s="36" t="s">
        <v>89</v>
      </c>
    </row>
    <row r="26" spans="2:39" x14ac:dyDescent="0.2">
      <c r="B26" s="24">
        <v>1</v>
      </c>
      <c r="C26" s="25" t="s">
        <v>90</v>
      </c>
      <c r="D26" s="25" t="s">
        <v>91</v>
      </c>
      <c r="E26" s="25" t="s">
        <v>92</v>
      </c>
      <c r="F26" s="26"/>
      <c r="G26" s="27">
        <v>1326.25928</v>
      </c>
      <c r="H26" s="27" t="str">
        <f t="shared" si="0"/>
        <v/>
      </c>
      <c r="I26" s="27">
        <v>1326.25928</v>
      </c>
      <c r="J26" s="27" t="str">
        <f t="shared" si="1"/>
        <v/>
      </c>
      <c r="K26" s="28">
        <f t="shared" si="2"/>
        <v>0</v>
      </c>
      <c r="L26" s="27" t="str">
        <f t="shared" si="3"/>
        <v/>
      </c>
      <c r="M26" s="27" t="str">
        <f t="shared" si="4"/>
        <v/>
      </c>
      <c r="N26" s="27">
        <v>1317.04</v>
      </c>
      <c r="O26" s="27" t="str">
        <f t="shared" si="5"/>
        <v/>
      </c>
      <c r="P26" s="29">
        <v>4</v>
      </c>
      <c r="Q26" s="30">
        <f t="shared" si="6"/>
        <v>174.24</v>
      </c>
      <c r="R26" s="30" t="str">
        <f>IF(AND(TRIM(Q26)&lt;&gt;"",TRIM(F26)&lt;&gt;""),(F26*703.999999010471)/Q26,"")</f>
        <v/>
      </c>
      <c r="S26" s="31"/>
      <c r="T26" s="31"/>
      <c r="U26" s="31"/>
      <c r="V26" s="31"/>
      <c r="W26" s="31"/>
      <c r="X26" s="31"/>
      <c r="Y26" s="31"/>
      <c r="Z26" s="31" t="str">
        <f>IF(AND(B26 = 1, F26 &lt;&gt;""), Z82,"")</f>
        <v/>
      </c>
      <c r="AA26" s="31" t="str">
        <f>IF(F26 = "", "", IF(AND(AND(F26 &gt;= 3, F26 &lt;= 999999), AND(SUM(F22:F22) &gt;= 4, SUM(F22:F22) &lt; 999999)), 0.024232633279,""))</f>
        <v/>
      </c>
      <c r="AB26" s="31"/>
      <c r="AC26" s="31"/>
      <c r="AD26" s="31">
        <v>1</v>
      </c>
      <c r="AE26" s="27">
        <f t="shared" si="7"/>
        <v>0</v>
      </c>
      <c r="AF26" s="25"/>
      <c r="AH26" s="37" t="s">
        <v>93</v>
      </c>
      <c r="AI26" s="38" t="s">
        <v>94</v>
      </c>
      <c r="AJ26" s="39">
        <v>4</v>
      </c>
      <c r="AK26" s="24" t="s">
        <v>95</v>
      </c>
      <c r="AL26" s="40">
        <v>0.19500000000000001</v>
      </c>
      <c r="AM26" s="30">
        <v>24.016387652751401</v>
      </c>
    </row>
    <row r="27" spans="2:39" x14ac:dyDescent="0.2">
      <c r="B27" s="24">
        <v>1</v>
      </c>
      <c r="C27" s="25" t="s">
        <v>90</v>
      </c>
      <c r="D27" s="25" t="s">
        <v>96</v>
      </c>
      <c r="E27" s="25" t="s">
        <v>92</v>
      </c>
      <c r="F27" s="26"/>
      <c r="G27" s="27">
        <v>1326.25928</v>
      </c>
      <c r="H27" s="27" t="str">
        <f t="shared" si="0"/>
        <v/>
      </c>
      <c r="I27" s="27">
        <v>1246.6659999999999</v>
      </c>
      <c r="J27" s="27" t="str">
        <f t="shared" si="1"/>
        <v/>
      </c>
      <c r="K27" s="28">
        <f t="shared" si="2"/>
        <v>0</v>
      </c>
      <c r="L27" s="27" t="str">
        <f t="shared" si="3"/>
        <v/>
      </c>
      <c r="M27" s="27" t="str">
        <f t="shared" si="4"/>
        <v/>
      </c>
      <c r="N27" s="27">
        <v>1238</v>
      </c>
      <c r="O27" s="27" t="str">
        <f t="shared" si="5"/>
        <v/>
      </c>
      <c r="P27" s="29">
        <v>4</v>
      </c>
      <c r="Q27" s="30">
        <f t="shared" si="6"/>
        <v>174.24</v>
      </c>
      <c r="R27" s="30" t="str">
        <f>IF(AND(TRIM(Q27)&lt;&gt;"",TRIM(F27)&lt;&gt;""),(F27*703.999999010471)/Q27,"")</f>
        <v/>
      </c>
      <c r="S27" s="31"/>
      <c r="T27" s="31"/>
      <c r="U27" s="31"/>
      <c r="V27" s="31"/>
      <c r="W27" s="31"/>
      <c r="X27" s="31"/>
      <c r="Y27" s="31"/>
      <c r="Z27" s="31" t="str">
        <f>IF(AND(B27 = 1, F27 &lt;&gt;""), Z82,"")</f>
        <v/>
      </c>
      <c r="AA27" s="31" t="str">
        <f>IF(F27 = "", "", IF(AND(AND(F27 &gt;= 3, F27 &lt;= 999999), AND(SUM(F22:F22) &gt;= 4, SUM(F22:F22) &lt; 999999)), 0.024232633279,""))</f>
        <v/>
      </c>
      <c r="AB27" s="31"/>
      <c r="AC27" s="31"/>
      <c r="AD27" s="31">
        <v>1</v>
      </c>
      <c r="AE27" s="27">
        <f t="shared" si="7"/>
        <v>0</v>
      </c>
      <c r="AF27" s="25"/>
      <c r="AH27" s="37" t="s">
        <v>97</v>
      </c>
      <c r="AI27" s="38" t="s">
        <v>98</v>
      </c>
      <c r="AJ27" s="39">
        <v>1</v>
      </c>
      <c r="AK27" s="24" t="s">
        <v>99</v>
      </c>
      <c r="AL27" s="40">
        <v>0.73499999999999999</v>
      </c>
      <c r="AM27" s="30">
        <v>3.99792419168871</v>
      </c>
    </row>
    <row r="28" spans="2:39" ht="27" x14ac:dyDescent="0.2">
      <c r="B28" s="24">
        <v>1</v>
      </c>
      <c r="C28" s="25" t="s">
        <v>100</v>
      </c>
      <c r="D28" s="25" t="s">
        <v>101</v>
      </c>
      <c r="E28" s="25" t="s">
        <v>94</v>
      </c>
      <c r="F28" s="26"/>
      <c r="G28" s="27">
        <v>604.20000000000005</v>
      </c>
      <c r="H28" s="27" t="str">
        <f t="shared" si="0"/>
        <v/>
      </c>
      <c r="I28" s="27">
        <v>604.20000000000005</v>
      </c>
      <c r="J28" s="27" t="str">
        <f t="shared" si="1"/>
        <v/>
      </c>
      <c r="K28" s="28">
        <f t="shared" si="2"/>
        <v>0</v>
      </c>
      <c r="L28" s="27" t="str">
        <f t="shared" si="3"/>
        <v/>
      </c>
      <c r="M28" s="27" t="str">
        <f t="shared" si="4"/>
        <v/>
      </c>
      <c r="N28" s="27">
        <v>600</v>
      </c>
      <c r="O28" s="27" t="str">
        <f t="shared" si="5"/>
        <v/>
      </c>
      <c r="P28" s="29">
        <v>0.19500000000000001</v>
      </c>
      <c r="Q28" s="30">
        <f t="shared" si="6"/>
        <v>8.4942000000000011</v>
      </c>
      <c r="R28" s="30" t="str">
        <f>IF(AND(TRIM(Q28)&lt;&gt;"",TRIM(F28)&lt;&gt;""),(F28*51)/Q28,"")</f>
        <v/>
      </c>
      <c r="S28" s="31"/>
      <c r="T28" s="31"/>
      <c r="U28" s="31"/>
      <c r="V28" s="31"/>
      <c r="W28" s="31"/>
      <c r="X28" s="31"/>
      <c r="Y28" s="31"/>
      <c r="Z28" s="31" t="str">
        <f>IF(AND(B28 = 1, F28 &lt;&gt;""), Z82,"")</f>
        <v/>
      </c>
      <c r="AA28" s="31" t="str">
        <f>IF(F28 = "", "", IF(AND(AND(F28 &gt;= 4, F28 &lt;= 999999), AND(SUM(F51:F51) &gt;= 1, SUM(F51:F51) &lt; 999999)), 0.05,""))</f>
        <v/>
      </c>
      <c r="AB28" s="31"/>
      <c r="AC28" s="31"/>
      <c r="AD28" s="31">
        <v>1</v>
      </c>
      <c r="AE28" s="27">
        <f t="shared" si="7"/>
        <v>0</v>
      </c>
      <c r="AF28" s="25"/>
      <c r="AH28" s="32" t="s">
        <v>102</v>
      </c>
      <c r="AI28" s="33" t="s">
        <v>50</v>
      </c>
      <c r="AJ28" s="34" t="s">
        <v>51</v>
      </c>
      <c r="AK28" s="33" t="s">
        <v>88</v>
      </c>
      <c r="AL28" s="35" t="s">
        <v>60</v>
      </c>
      <c r="AM28" s="36" t="s">
        <v>89</v>
      </c>
    </row>
    <row r="29" spans="2:39" x14ac:dyDescent="0.2">
      <c r="B29" s="24"/>
      <c r="C29" s="25" t="s">
        <v>103</v>
      </c>
      <c r="D29" s="25" t="s">
        <v>104</v>
      </c>
      <c r="E29" s="25" t="s">
        <v>16</v>
      </c>
      <c r="F29" s="26"/>
      <c r="G29" s="27">
        <v>288.00200000000001</v>
      </c>
      <c r="H29" s="27" t="str">
        <f t="shared" si="0"/>
        <v/>
      </c>
      <c r="I29" s="27">
        <v>288.00200000000001</v>
      </c>
      <c r="J29" s="27" t="str">
        <f t="shared" si="1"/>
        <v/>
      </c>
      <c r="K29" s="28">
        <f t="shared" si="2"/>
        <v>0</v>
      </c>
      <c r="L29" s="27" t="str">
        <f t="shared" si="3"/>
        <v/>
      </c>
      <c r="M29" s="27" t="str">
        <f t="shared" si="4"/>
        <v/>
      </c>
      <c r="N29" s="27">
        <v>0</v>
      </c>
      <c r="O29" s="27" t="str">
        <f t="shared" si="5"/>
        <v/>
      </c>
      <c r="P29" s="29">
        <v>4</v>
      </c>
      <c r="Q29" s="30">
        <f t="shared" si="6"/>
        <v>174.24</v>
      </c>
      <c r="R29" s="30" t="str">
        <f>IF(AND(TRIM(Q29)&lt;&gt;"",TRIM(F29)&lt;&gt;""),(F29*319.999849189052)/Q29,"")</f>
        <v/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27">
        <f t="shared" si="7"/>
        <v>0</v>
      </c>
      <c r="AF29" s="25"/>
      <c r="AH29" s="67" t="s">
        <v>105</v>
      </c>
      <c r="AI29" s="67"/>
      <c r="AJ29" s="68"/>
      <c r="AK29" s="67"/>
      <c r="AL29" s="69"/>
      <c r="AM29" s="70"/>
    </row>
    <row r="30" spans="2:39" x14ac:dyDescent="0.2">
      <c r="B30" s="24"/>
      <c r="C30" s="25" t="s">
        <v>106</v>
      </c>
      <c r="D30" s="25" t="s">
        <v>107</v>
      </c>
      <c r="E30" s="25" t="s">
        <v>16</v>
      </c>
      <c r="F30" s="26"/>
      <c r="G30" s="27">
        <v>143.37665999999999</v>
      </c>
      <c r="H30" s="27" t="str">
        <f t="shared" si="0"/>
        <v/>
      </c>
      <c r="I30" s="27">
        <v>143.37665999999999</v>
      </c>
      <c r="J30" s="27" t="str">
        <f t="shared" si="1"/>
        <v/>
      </c>
      <c r="K30" s="28">
        <f t="shared" si="2"/>
        <v>0</v>
      </c>
      <c r="L30" s="27" t="str">
        <f t="shared" si="3"/>
        <v/>
      </c>
      <c r="M30" s="27" t="str">
        <f t="shared" si="4"/>
        <v/>
      </c>
      <c r="N30" s="27">
        <v>0</v>
      </c>
      <c r="O30" s="27" t="str">
        <f t="shared" si="5"/>
        <v/>
      </c>
      <c r="P30" s="29">
        <v>5</v>
      </c>
      <c r="Q30" s="30">
        <f t="shared" si="6"/>
        <v>217.8</v>
      </c>
      <c r="R30" s="30" t="str">
        <f>IF(AND(TRIM(Q30)&lt;&gt;"",TRIM(F30)&lt;&gt;""),(F30*319.999849189052)/Q30,"")</f>
        <v/>
      </c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27">
        <f t="shared" si="7"/>
        <v>0</v>
      </c>
      <c r="AF30" s="25"/>
    </row>
    <row r="31" spans="2:39" x14ac:dyDescent="0.2">
      <c r="B31" s="24">
        <v>1</v>
      </c>
      <c r="C31" s="25" t="s">
        <v>108</v>
      </c>
      <c r="D31" s="25" t="s">
        <v>109</v>
      </c>
      <c r="E31" s="25" t="s">
        <v>110</v>
      </c>
      <c r="F31" s="26"/>
      <c r="G31" s="27">
        <v>1711.9</v>
      </c>
      <c r="H31" s="27" t="str">
        <f t="shared" si="0"/>
        <v/>
      </c>
      <c r="I31" s="27">
        <v>1711.9</v>
      </c>
      <c r="J31" s="27" t="str">
        <f t="shared" si="1"/>
        <v/>
      </c>
      <c r="K31" s="28">
        <f t="shared" si="2"/>
        <v>0</v>
      </c>
      <c r="L31" s="27" t="str">
        <f t="shared" si="3"/>
        <v/>
      </c>
      <c r="M31" s="27" t="str">
        <f t="shared" si="4"/>
        <v/>
      </c>
      <c r="N31" s="27">
        <v>1700</v>
      </c>
      <c r="O31" s="27" t="str">
        <f t="shared" si="5"/>
        <v/>
      </c>
      <c r="P31" s="29">
        <v>0.39</v>
      </c>
      <c r="Q31" s="30">
        <f t="shared" si="6"/>
        <v>16.988400000000002</v>
      </c>
      <c r="R31" s="30" t="str">
        <f>IF(AND(TRIM(Q31)&lt;&gt;"",TRIM(F31)&lt;&gt;""),(F31*17.1)/Q31,"")</f>
        <v/>
      </c>
      <c r="S31" s="31"/>
      <c r="T31" s="31"/>
      <c r="U31" s="31"/>
      <c r="V31" s="31"/>
      <c r="W31" s="31"/>
      <c r="X31" s="31"/>
      <c r="Y31" s="31"/>
      <c r="Z31" s="31" t="str">
        <f>IF(AND(B31 = 1, F31 &lt;&gt;""), Z82,"")</f>
        <v/>
      </c>
      <c r="AA31" s="31"/>
      <c r="AB31" s="31"/>
      <c r="AC31" s="31"/>
      <c r="AD31" s="31">
        <v>1</v>
      </c>
      <c r="AE31" s="27">
        <f t="shared" si="7"/>
        <v>0</v>
      </c>
      <c r="AF31" s="25"/>
    </row>
    <row r="32" spans="2:39" x14ac:dyDescent="0.2">
      <c r="B32" s="24">
        <v>1</v>
      </c>
      <c r="C32" s="25" t="s">
        <v>108</v>
      </c>
      <c r="D32" s="25" t="s">
        <v>111</v>
      </c>
      <c r="E32" s="25" t="s">
        <v>110</v>
      </c>
      <c r="F32" s="26"/>
      <c r="G32" s="27">
        <v>1711.9</v>
      </c>
      <c r="H32" s="27" t="str">
        <f t="shared" si="0"/>
        <v/>
      </c>
      <c r="I32" s="27">
        <v>1540.71</v>
      </c>
      <c r="J32" s="27" t="str">
        <f t="shared" si="1"/>
        <v/>
      </c>
      <c r="K32" s="28">
        <f t="shared" si="2"/>
        <v>0</v>
      </c>
      <c r="L32" s="27" t="str">
        <f t="shared" si="3"/>
        <v/>
      </c>
      <c r="M32" s="27" t="str">
        <f t="shared" si="4"/>
        <v/>
      </c>
      <c r="N32" s="27">
        <v>1530</v>
      </c>
      <c r="O32" s="27" t="str">
        <f t="shared" si="5"/>
        <v/>
      </c>
      <c r="P32" s="29">
        <v>0.39</v>
      </c>
      <c r="Q32" s="30">
        <f t="shared" si="6"/>
        <v>16.988400000000002</v>
      </c>
      <c r="R32" s="30" t="str">
        <f>IF(AND(TRIM(Q32)&lt;&gt;"",TRIM(F32)&lt;&gt;""),(F32*17.1)/Q32,"")</f>
        <v/>
      </c>
      <c r="S32" s="31"/>
      <c r="T32" s="31"/>
      <c r="U32" s="31"/>
      <c r="V32" s="31"/>
      <c r="W32" s="31"/>
      <c r="X32" s="31"/>
      <c r="Y32" s="31"/>
      <c r="Z32" s="31" t="str">
        <f>IF(AND(B32 = 1, F32 &lt;&gt;""), Z82,"")</f>
        <v/>
      </c>
      <c r="AA32" s="31"/>
      <c r="AB32" s="31"/>
      <c r="AC32" s="31"/>
      <c r="AD32" s="31">
        <v>1</v>
      </c>
      <c r="AE32" s="27">
        <f t="shared" si="7"/>
        <v>0</v>
      </c>
      <c r="AF32" s="25"/>
      <c r="AH32" s="71" t="s">
        <v>112</v>
      </c>
      <c r="AI32" s="71"/>
      <c r="AJ32" s="72"/>
      <c r="AK32" s="71"/>
      <c r="AL32" s="73"/>
      <c r="AM32" s="74"/>
    </row>
    <row r="33" spans="2:39" x14ac:dyDescent="0.2">
      <c r="B33" s="24">
        <v>1</v>
      </c>
      <c r="C33" s="25" t="s">
        <v>18</v>
      </c>
      <c r="D33" s="25" t="s">
        <v>113</v>
      </c>
      <c r="E33" s="25" t="s">
        <v>16</v>
      </c>
      <c r="F33" s="26"/>
      <c r="G33" s="27">
        <v>475.8075</v>
      </c>
      <c r="H33" s="27" t="str">
        <f t="shared" si="0"/>
        <v/>
      </c>
      <c r="I33" s="27">
        <v>475.8075</v>
      </c>
      <c r="J33" s="27" t="str">
        <f t="shared" si="1"/>
        <v/>
      </c>
      <c r="K33" s="28">
        <f t="shared" ca="1" si="2"/>
        <v>0</v>
      </c>
      <c r="L33" s="27" t="str">
        <f t="shared" si="3"/>
        <v/>
      </c>
      <c r="M33" s="27" t="str">
        <f t="shared" si="4"/>
        <v/>
      </c>
      <c r="N33" s="27">
        <v>472.5</v>
      </c>
      <c r="O33" s="27" t="str">
        <f t="shared" si="5"/>
        <v/>
      </c>
      <c r="P33" s="29">
        <v>4</v>
      </c>
      <c r="Q33" s="30">
        <f t="shared" si="6"/>
        <v>174.24</v>
      </c>
      <c r="R33" s="30" t="str">
        <f>IF(AND(TRIM(Q33)&lt;&gt;"",TRIM(F33)&lt;&gt;""),(F33*319.999849189052)/Q33,"")</f>
        <v/>
      </c>
      <c r="S33" s="31" t="str">
        <f ca="1">IF(AND(F33 &lt;&gt;"",F33&gt;0), IFERROR(VLOOKUP(F33,INDIRECT(AF33),3,TRUE),0), "")</f>
        <v/>
      </c>
      <c r="T33" s="31"/>
      <c r="U33" s="31"/>
      <c r="V33" s="31"/>
      <c r="W33" s="31"/>
      <c r="X33" s="31"/>
      <c r="Y33" s="31"/>
      <c r="Z33" s="31" t="str">
        <f>IF(AND(B33 = 1, F33 &lt;&gt;""), Z82,"")</f>
        <v/>
      </c>
      <c r="AA33" s="31" t="str">
        <f>IF(F33 = "", "", IF(AND(AND(F33 &gt;= 6, F33 &lt;= 999999), AND(SUM(F36:F36) &gt;= 2, SUM(F36:F36) &lt; 999999)), 0.050602409638,""))</f>
        <v/>
      </c>
      <c r="AB33" s="31"/>
      <c r="AC33" s="31"/>
      <c r="AD33" s="31">
        <v>1</v>
      </c>
      <c r="AE33" s="27">
        <f t="shared" si="7"/>
        <v>0</v>
      </c>
      <c r="AF33" s="25" t="s">
        <v>114</v>
      </c>
      <c r="AH33" s="71"/>
      <c r="AI33" s="71"/>
      <c r="AJ33" s="72"/>
      <c r="AK33" s="71"/>
      <c r="AL33" s="73"/>
      <c r="AM33" s="74"/>
    </row>
    <row r="34" spans="2:39" x14ac:dyDescent="0.2">
      <c r="B34" s="24">
        <v>1</v>
      </c>
      <c r="C34" s="25" t="s">
        <v>18</v>
      </c>
      <c r="D34" s="25" t="s">
        <v>115</v>
      </c>
      <c r="E34" s="25" t="s">
        <v>16</v>
      </c>
      <c r="F34" s="26"/>
      <c r="G34" s="27">
        <v>475.8075</v>
      </c>
      <c r="H34" s="27" t="str">
        <f t="shared" si="0"/>
        <v/>
      </c>
      <c r="I34" s="27">
        <v>417.90499999999997</v>
      </c>
      <c r="J34" s="27" t="str">
        <f t="shared" si="1"/>
        <v/>
      </c>
      <c r="K34" s="28">
        <f t="shared" ca="1" si="2"/>
        <v>0</v>
      </c>
      <c r="L34" s="27" t="str">
        <f t="shared" si="3"/>
        <v/>
      </c>
      <c r="M34" s="27" t="str">
        <f t="shared" si="4"/>
        <v/>
      </c>
      <c r="N34" s="27">
        <v>415</v>
      </c>
      <c r="O34" s="27" t="str">
        <f t="shared" si="5"/>
        <v/>
      </c>
      <c r="P34" s="29">
        <v>4</v>
      </c>
      <c r="Q34" s="30">
        <f t="shared" si="6"/>
        <v>174.24</v>
      </c>
      <c r="R34" s="30" t="str">
        <f>IF(AND(TRIM(Q34)&lt;&gt;"",TRIM(F34)&lt;&gt;""),(F34*319.999849189052)/Q34,"")</f>
        <v/>
      </c>
      <c r="S34" s="31" t="str">
        <f ca="1">IF(AND(F34 &lt;&gt;"",F34&gt;0), IFERROR(VLOOKUP(F34,INDIRECT(AF34),3,TRUE),0), "")</f>
        <v/>
      </c>
      <c r="T34" s="31"/>
      <c r="U34" s="31"/>
      <c r="V34" s="31"/>
      <c r="W34" s="31"/>
      <c r="X34" s="31"/>
      <c r="Y34" s="31"/>
      <c r="Z34" s="31" t="str">
        <f>IF(AND(B34 = 1, F34 &lt;&gt;""), Z82,"")</f>
        <v/>
      </c>
      <c r="AA34" s="31" t="str">
        <f>IF(F34 = "", "", IF(AND(AND(F34 &gt;= 6, F34 &lt;= 999999), AND(SUM(F36:F36) &gt;= 2, SUM(F36:F36) &lt; 999999)), 0.050602409638,""))</f>
        <v/>
      </c>
      <c r="AB34" s="31"/>
      <c r="AC34" s="31"/>
      <c r="AD34" s="31">
        <v>1</v>
      </c>
      <c r="AE34" s="27">
        <f t="shared" si="7"/>
        <v>0</v>
      </c>
      <c r="AF34" s="25" t="s">
        <v>114</v>
      </c>
      <c r="AH34" s="75"/>
      <c r="AI34" s="75"/>
      <c r="AJ34" s="76"/>
      <c r="AK34" s="75"/>
      <c r="AL34" s="77"/>
      <c r="AM34" s="78"/>
    </row>
    <row r="35" spans="2:39" x14ac:dyDescent="0.2">
      <c r="B35" s="24"/>
      <c r="C35" s="25" t="s">
        <v>116</v>
      </c>
      <c r="D35" s="25" t="s">
        <v>117</v>
      </c>
      <c r="E35" s="25" t="s">
        <v>118</v>
      </c>
      <c r="F35" s="26"/>
      <c r="G35" s="27">
        <v>1263.7850000000001</v>
      </c>
      <c r="H35" s="27" t="str">
        <f t="shared" si="0"/>
        <v/>
      </c>
      <c r="I35" s="27">
        <v>1263.7850000000001</v>
      </c>
      <c r="J35" s="27" t="str">
        <f t="shared" si="1"/>
        <v/>
      </c>
      <c r="K35" s="28">
        <f t="shared" si="2"/>
        <v>0</v>
      </c>
      <c r="L35" s="27" t="str">
        <f t="shared" si="3"/>
        <v/>
      </c>
      <c r="M35" s="27" t="str">
        <f t="shared" si="4"/>
        <v/>
      </c>
      <c r="N35" s="27">
        <v>0</v>
      </c>
      <c r="O35" s="27" t="str">
        <f t="shared" si="5"/>
        <v/>
      </c>
      <c r="P35" s="29">
        <v>0.17199999999999999</v>
      </c>
      <c r="Q35" s="30">
        <f t="shared" si="6"/>
        <v>7.4923199999999994</v>
      </c>
      <c r="R35" s="30" t="str">
        <f>IF(AND(TRIM(Q35)&lt;&gt;"",TRIM(F35)&lt;&gt;""),(F35*176)/Q35,"")</f>
        <v/>
      </c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27">
        <f t="shared" si="7"/>
        <v>0</v>
      </c>
      <c r="AF35" s="25"/>
      <c r="AH35" s="75"/>
      <c r="AI35" s="75"/>
      <c r="AJ35" s="76"/>
      <c r="AK35" s="75"/>
      <c r="AL35" s="77"/>
      <c r="AM35" s="78"/>
    </row>
    <row r="36" spans="2:39" x14ac:dyDescent="0.2">
      <c r="B36" s="24">
        <v>1</v>
      </c>
      <c r="C36" s="25" t="s">
        <v>22</v>
      </c>
      <c r="D36" s="25" t="s">
        <v>23</v>
      </c>
      <c r="E36" s="25" t="s">
        <v>16</v>
      </c>
      <c r="F36" s="26"/>
      <c r="G36" s="27">
        <v>419.91899999999998</v>
      </c>
      <c r="H36" s="27" t="str">
        <f t="shared" si="0"/>
        <v/>
      </c>
      <c r="I36" s="27">
        <v>419.91899999999998</v>
      </c>
      <c r="J36" s="27" t="str">
        <f t="shared" si="1"/>
        <v/>
      </c>
      <c r="K36" s="28">
        <f t="shared" ca="1" si="2"/>
        <v>0</v>
      </c>
      <c r="L36" s="27" t="str">
        <f t="shared" si="3"/>
        <v/>
      </c>
      <c r="M36" s="27" t="str">
        <f t="shared" si="4"/>
        <v/>
      </c>
      <c r="N36" s="27">
        <v>417</v>
      </c>
      <c r="O36" s="27" t="str">
        <f t="shared" si="5"/>
        <v/>
      </c>
      <c r="P36" s="29">
        <v>1</v>
      </c>
      <c r="Q36" s="30">
        <f t="shared" si="6"/>
        <v>43.56</v>
      </c>
      <c r="R36" s="30" t="str">
        <f>IF(AND(TRIM(Q36)&lt;&gt;"",TRIM(F36)&lt;&gt;""),(F36*319.999849189052)/Q36,"")</f>
        <v/>
      </c>
      <c r="S36" s="31" t="str">
        <f ca="1">IF(AND(F36 &lt;&gt;"",F36&gt;0), IFERROR(VLOOKUP(F36,INDIRECT(AF36),3,TRUE),0), "")</f>
        <v/>
      </c>
      <c r="T36" s="31"/>
      <c r="U36" s="31"/>
      <c r="V36" s="31"/>
      <c r="W36" s="31"/>
      <c r="X36" s="31"/>
      <c r="Y36" s="31"/>
      <c r="Z36" s="31" t="str">
        <f>IF(AND(B36 = 1, F36 &lt;&gt;""), Z82,"")</f>
        <v/>
      </c>
      <c r="AA36" s="31" t="str">
        <f>IF(F36 = "", "", IF(AND(AND(F36 &gt;= 2, F36 &lt;= 999999), AND(SUM(F33:F34) &gt;= 6, SUM(F33:F34) &lt; 999999)), 0.05035971223,""))</f>
        <v/>
      </c>
      <c r="AB36" s="31"/>
      <c r="AC36" s="31"/>
      <c r="AD36" s="31">
        <v>1</v>
      </c>
      <c r="AE36" s="27">
        <f t="shared" si="7"/>
        <v>0</v>
      </c>
      <c r="AF36" s="25" t="s">
        <v>119</v>
      </c>
      <c r="AH36" s="63"/>
      <c r="AI36" s="63"/>
      <c r="AJ36" s="64"/>
      <c r="AK36" s="63"/>
      <c r="AL36" s="65"/>
      <c r="AM36" s="66"/>
    </row>
    <row r="37" spans="2:39" ht="27" x14ac:dyDescent="0.2">
      <c r="B37" s="24">
        <v>1</v>
      </c>
      <c r="C37" s="25" t="s">
        <v>120</v>
      </c>
      <c r="D37" s="25" t="s">
        <v>121</v>
      </c>
      <c r="E37" s="25" t="s">
        <v>122</v>
      </c>
      <c r="F37" s="26"/>
      <c r="G37" s="27">
        <v>630.68409999999994</v>
      </c>
      <c r="H37" s="27" t="str">
        <f t="shared" si="0"/>
        <v/>
      </c>
      <c r="I37" s="27">
        <v>630.68409999999994</v>
      </c>
      <c r="J37" s="27" t="str">
        <f t="shared" si="1"/>
        <v/>
      </c>
      <c r="K37" s="28">
        <f t="shared" si="2"/>
        <v>0</v>
      </c>
      <c r="L37" s="27" t="str">
        <f t="shared" si="3"/>
        <v/>
      </c>
      <c r="M37" s="27" t="str">
        <f t="shared" si="4"/>
        <v/>
      </c>
      <c r="N37" s="27">
        <v>626.29999999999995</v>
      </c>
      <c r="O37" s="27" t="str">
        <f t="shared" si="5"/>
        <v/>
      </c>
      <c r="P37" s="29">
        <v>0.4</v>
      </c>
      <c r="Q37" s="30">
        <f t="shared" si="6"/>
        <v>17.424000000000003</v>
      </c>
      <c r="R37" s="30" t="str">
        <f>IF(AND(TRIM(Q37)&lt;&gt;"",TRIM(F37)&lt;&gt;""),(F37*87)/Q37,"")</f>
        <v/>
      </c>
      <c r="S37" s="31"/>
      <c r="T37" s="31"/>
      <c r="U37" s="31"/>
      <c r="V37" s="31"/>
      <c r="W37" s="31"/>
      <c r="X37" s="31"/>
      <c r="Y37" s="31"/>
      <c r="Z37" s="31" t="str">
        <f>IF(AND(B37 = 1, F37 &lt;&gt;""), Z82,"")</f>
        <v/>
      </c>
      <c r="AA37" s="31"/>
      <c r="AB37" s="31"/>
      <c r="AC37" s="31"/>
      <c r="AD37" s="31">
        <v>1</v>
      </c>
      <c r="AE37" s="27">
        <f t="shared" si="7"/>
        <v>0</v>
      </c>
      <c r="AF37" s="25"/>
      <c r="AH37" s="32" t="s">
        <v>87</v>
      </c>
      <c r="AI37" s="33" t="s">
        <v>50</v>
      </c>
      <c r="AJ37" s="34" t="s">
        <v>51</v>
      </c>
      <c r="AK37" s="33" t="s">
        <v>88</v>
      </c>
      <c r="AL37" s="35" t="s">
        <v>60</v>
      </c>
      <c r="AM37" s="36" t="s">
        <v>89</v>
      </c>
    </row>
    <row r="38" spans="2:39" x14ac:dyDescent="0.2">
      <c r="B38" s="24"/>
      <c r="C38" s="25" t="s">
        <v>123</v>
      </c>
      <c r="D38" s="25" t="s">
        <v>124</v>
      </c>
      <c r="E38" s="25" t="s">
        <v>16</v>
      </c>
      <c r="F38" s="26"/>
      <c r="G38" s="27">
        <v>450.93459999999999</v>
      </c>
      <c r="H38" s="27" t="str">
        <f t="shared" si="0"/>
        <v/>
      </c>
      <c r="I38" s="27">
        <v>450.93459999999999</v>
      </c>
      <c r="J38" s="27" t="str">
        <f t="shared" si="1"/>
        <v/>
      </c>
      <c r="K38" s="28">
        <f t="shared" si="2"/>
        <v>0</v>
      </c>
      <c r="L38" s="27" t="str">
        <f t="shared" si="3"/>
        <v/>
      </c>
      <c r="M38" s="27" t="str">
        <f t="shared" si="4"/>
        <v/>
      </c>
      <c r="N38" s="27">
        <v>0</v>
      </c>
      <c r="O38" s="27" t="str">
        <f t="shared" si="5"/>
        <v/>
      </c>
      <c r="P38" s="29">
        <v>2.33</v>
      </c>
      <c r="Q38" s="30">
        <f t="shared" si="6"/>
        <v>101.49480000000001</v>
      </c>
      <c r="R38" s="30" t="str">
        <f>IF(AND(TRIM(Q38)&lt;&gt;"",TRIM(F38)&lt;&gt;""),(F38*319.999849189052)/Q38,"")</f>
        <v/>
      </c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27">
        <f t="shared" si="7"/>
        <v>0</v>
      </c>
      <c r="AF38" s="25"/>
      <c r="AH38" s="37" t="s">
        <v>93</v>
      </c>
      <c r="AI38" s="38" t="s">
        <v>94</v>
      </c>
      <c r="AJ38" s="39">
        <v>1</v>
      </c>
      <c r="AK38" s="24" t="s">
        <v>125</v>
      </c>
      <c r="AL38" s="40">
        <v>0.19500000000000001</v>
      </c>
      <c r="AM38" s="30">
        <v>6.0040969131878299</v>
      </c>
    </row>
    <row r="39" spans="2:39" x14ac:dyDescent="0.2">
      <c r="B39" s="24"/>
      <c r="C39" s="25" t="s">
        <v>123</v>
      </c>
      <c r="D39" s="25" t="s">
        <v>126</v>
      </c>
      <c r="E39" s="25" t="s">
        <v>16</v>
      </c>
      <c r="F39" s="26"/>
      <c r="G39" s="27">
        <v>450.93459999999999</v>
      </c>
      <c r="H39" s="27" t="str">
        <f t="shared" si="0"/>
        <v/>
      </c>
      <c r="I39" s="27">
        <v>378.11842999999999</v>
      </c>
      <c r="J39" s="27" t="str">
        <f t="shared" si="1"/>
        <v/>
      </c>
      <c r="K39" s="28">
        <f t="shared" si="2"/>
        <v>0</v>
      </c>
      <c r="L39" s="27" t="str">
        <f t="shared" si="3"/>
        <v/>
      </c>
      <c r="M39" s="27" t="str">
        <f t="shared" si="4"/>
        <v/>
      </c>
      <c r="N39" s="27">
        <v>0</v>
      </c>
      <c r="O39" s="27" t="str">
        <f t="shared" si="5"/>
        <v/>
      </c>
      <c r="P39" s="29">
        <v>2.33</v>
      </c>
      <c r="Q39" s="30">
        <f t="shared" si="6"/>
        <v>101.49480000000001</v>
      </c>
      <c r="R39" s="30" t="str">
        <f>IF(AND(TRIM(Q39)&lt;&gt;"",TRIM(F39)&lt;&gt;""),(F39*319.999849189052)/Q39,"")</f>
        <v/>
      </c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27">
        <f t="shared" si="7"/>
        <v>0</v>
      </c>
      <c r="AF39" s="25"/>
      <c r="AH39" s="37" t="s">
        <v>97</v>
      </c>
      <c r="AI39" s="38" t="s">
        <v>98</v>
      </c>
      <c r="AJ39" s="39">
        <v>4</v>
      </c>
      <c r="AK39" s="24" t="s">
        <v>127</v>
      </c>
      <c r="AL39" s="40">
        <v>0.73499999999999999</v>
      </c>
      <c r="AM39" s="30">
        <v>15.991696766754799</v>
      </c>
    </row>
    <row r="40" spans="2:39" ht="27" x14ac:dyDescent="0.2">
      <c r="B40" s="24"/>
      <c r="C40" s="25" t="s">
        <v>123</v>
      </c>
      <c r="D40" s="25" t="s">
        <v>128</v>
      </c>
      <c r="E40" s="25" t="s">
        <v>16</v>
      </c>
      <c r="F40" s="26"/>
      <c r="G40" s="27">
        <v>450.93459999999999</v>
      </c>
      <c r="H40" s="27" t="str">
        <f t="shared" si="0"/>
        <v/>
      </c>
      <c r="I40" s="27">
        <v>327.95976000000002</v>
      </c>
      <c r="J40" s="27" t="str">
        <f t="shared" si="1"/>
        <v/>
      </c>
      <c r="K40" s="28">
        <f t="shared" si="2"/>
        <v>0</v>
      </c>
      <c r="L40" s="27" t="str">
        <f t="shared" si="3"/>
        <v/>
      </c>
      <c r="M40" s="27" t="str">
        <f t="shared" si="4"/>
        <v/>
      </c>
      <c r="N40" s="27">
        <v>0</v>
      </c>
      <c r="O40" s="27" t="str">
        <f t="shared" si="5"/>
        <v/>
      </c>
      <c r="P40" s="29">
        <v>2.33</v>
      </c>
      <c r="Q40" s="30">
        <f t="shared" si="6"/>
        <v>101.49480000000001</v>
      </c>
      <c r="R40" s="30" t="str">
        <f>IF(AND(TRIM(Q40)&lt;&gt;"",TRIM(F40)&lt;&gt;""),(F40*319.999849189052)/Q40,"")</f>
        <v/>
      </c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27">
        <f t="shared" si="7"/>
        <v>0</v>
      </c>
      <c r="AF40" s="25"/>
      <c r="AH40" s="32" t="s">
        <v>102</v>
      </c>
      <c r="AI40" s="33" t="s">
        <v>50</v>
      </c>
      <c r="AJ40" s="34" t="s">
        <v>51</v>
      </c>
      <c r="AK40" s="33" t="s">
        <v>88</v>
      </c>
      <c r="AL40" s="35" t="s">
        <v>60</v>
      </c>
      <c r="AM40" s="36" t="s">
        <v>89</v>
      </c>
    </row>
    <row r="41" spans="2:39" x14ac:dyDescent="0.2">
      <c r="B41" s="24">
        <v>1</v>
      </c>
      <c r="C41" s="25" t="s">
        <v>25</v>
      </c>
      <c r="D41" s="25" t="s">
        <v>129</v>
      </c>
      <c r="E41" s="25" t="s">
        <v>27</v>
      </c>
      <c r="F41" s="26"/>
      <c r="G41" s="27">
        <v>176.22499999999999</v>
      </c>
      <c r="H41" s="27" t="str">
        <f t="shared" si="0"/>
        <v/>
      </c>
      <c r="I41" s="27">
        <v>176.22499999999999</v>
      </c>
      <c r="J41" s="27" t="str">
        <f t="shared" si="1"/>
        <v/>
      </c>
      <c r="K41" s="28">
        <f t="shared" ca="1" si="2"/>
        <v>0</v>
      </c>
      <c r="L41" s="27" t="str">
        <f t="shared" si="3"/>
        <v/>
      </c>
      <c r="M41" s="27" t="str">
        <f t="shared" si="4"/>
        <v/>
      </c>
      <c r="N41" s="27">
        <v>175</v>
      </c>
      <c r="O41" s="27" t="str">
        <f t="shared" si="5"/>
        <v/>
      </c>
      <c r="P41" s="29">
        <v>4</v>
      </c>
      <c r="Q41" s="30">
        <f t="shared" si="6"/>
        <v>174.24</v>
      </c>
      <c r="R41" s="30" t="str">
        <f>IF(AND(TRIM(Q41)&lt;&gt;"",TRIM(F41)&lt;&gt;""),(F41*87.9999998763089)/Q41,"")</f>
        <v/>
      </c>
      <c r="S41" s="31" t="str">
        <f ca="1">IF(AND(F41 &lt;&gt;"",F41&gt;0), IFERROR(VLOOKUP(F41,INDIRECT(AF41),3,TRUE),0), "")</f>
        <v/>
      </c>
      <c r="T41" s="31"/>
      <c r="U41" s="31"/>
      <c r="V41" s="31"/>
      <c r="W41" s="31"/>
      <c r="X41" s="31"/>
      <c r="Y41" s="31"/>
      <c r="Z41" s="31" t="str">
        <f>IF(AND(B41 = 1, F41 &lt;&gt;""), Z82,"")</f>
        <v/>
      </c>
      <c r="AA41" s="31" t="str">
        <f>IF(F41 = "", "", IF(AND(AND(F41 &gt;= 24, F41 &lt;= 999999), AND(SUM(F22:F22) &gt;= 4, SUM(F22:F22) &lt; 999999)), 0.025,""))</f>
        <v/>
      </c>
      <c r="AB41" s="31"/>
      <c r="AC41" s="31"/>
      <c r="AD41" s="31">
        <v>1</v>
      </c>
      <c r="AE41" s="27">
        <f t="shared" si="7"/>
        <v>0</v>
      </c>
      <c r="AF41" s="25" t="s">
        <v>130</v>
      </c>
      <c r="AH41" s="67" t="s">
        <v>105</v>
      </c>
      <c r="AI41" s="67"/>
      <c r="AJ41" s="68"/>
      <c r="AK41" s="67"/>
      <c r="AL41" s="69"/>
      <c r="AM41" s="70"/>
    </row>
    <row r="42" spans="2:39" x14ac:dyDescent="0.2">
      <c r="B42" s="24">
        <v>1</v>
      </c>
      <c r="C42" s="25" t="s">
        <v>25</v>
      </c>
      <c r="D42" s="25" t="s">
        <v>131</v>
      </c>
      <c r="E42" s="25" t="s">
        <v>27</v>
      </c>
      <c r="F42" s="26"/>
      <c r="G42" s="27">
        <v>176.22499999999999</v>
      </c>
      <c r="H42" s="27" t="str">
        <f t="shared" si="0"/>
        <v/>
      </c>
      <c r="I42" s="27">
        <v>161.12</v>
      </c>
      <c r="J42" s="27" t="str">
        <f t="shared" si="1"/>
        <v/>
      </c>
      <c r="K42" s="28">
        <f t="shared" ca="1" si="2"/>
        <v>0</v>
      </c>
      <c r="L42" s="27" t="str">
        <f t="shared" si="3"/>
        <v/>
      </c>
      <c r="M42" s="27" t="str">
        <f t="shared" si="4"/>
        <v/>
      </c>
      <c r="N42" s="27">
        <v>160</v>
      </c>
      <c r="O42" s="27" t="str">
        <f t="shared" si="5"/>
        <v/>
      </c>
      <c r="P42" s="29">
        <v>4</v>
      </c>
      <c r="Q42" s="30">
        <f t="shared" si="6"/>
        <v>174.24</v>
      </c>
      <c r="R42" s="30" t="str">
        <f>IF(AND(TRIM(Q42)&lt;&gt;"",TRIM(F42)&lt;&gt;""),(F42*87.9999998763089)/Q42,"")</f>
        <v/>
      </c>
      <c r="S42" s="31" t="str">
        <f ca="1">IF(AND(F42 &lt;&gt;"",F42&gt;0), IFERROR(VLOOKUP(F42,INDIRECT(AF42),3,TRUE),0), "")</f>
        <v/>
      </c>
      <c r="T42" s="31"/>
      <c r="U42" s="31"/>
      <c r="V42" s="31"/>
      <c r="W42" s="31"/>
      <c r="X42" s="31"/>
      <c r="Y42" s="31"/>
      <c r="Z42" s="31" t="str">
        <f>IF(AND(B42 = 1, F42 &lt;&gt;""), Z82,"")</f>
        <v/>
      </c>
      <c r="AA42" s="31" t="str">
        <f>IF(F42 = "", "", IF(AND(AND(F42 &gt;= 24, F42 &lt;= 999999), AND(SUM(F22:F22) &gt;= 4, SUM(F22:F22) &lt; 999999)), 0.025,""))</f>
        <v/>
      </c>
      <c r="AB42" s="31"/>
      <c r="AC42" s="31"/>
      <c r="AD42" s="31">
        <v>1</v>
      </c>
      <c r="AE42" s="27">
        <f t="shared" si="7"/>
        <v>0</v>
      </c>
      <c r="AF42" s="25" t="s">
        <v>130</v>
      </c>
    </row>
    <row r="43" spans="2:39" x14ac:dyDescent="0.2">
      <c r="B43" s="24">
        <v>1</v>
      </c>
      <c r="C43" s="25" t="s">
        <v>132</v>
      </c>
      <c r="D43" s="25" t="s">
        <v>133</v>
      </c>
      <c r="E43" s="25" t="s">
        <v>134</v>
      </c>
      <c r="F43" s="26"/>
      <c r="G43" s="27">
        <v>1742.11</v>
      </c>
      <c r="H43" s="27" t="str">
        <f t="shared" si="0"/>
        <v/>
      </c>
      <c r="I43" s="27">
        <v>1742.11</v>
      </c>
      <c r="J43" s="27" t="str">
        <f t="shared" si="1"/>
        <v/>
      </c>
      <c r="K43" s="28">
        <f t="shared" si="2"/>
        <v>0</v>
      </c>
      <c r="L43" s="27" t="str">
        <f t="shared" si="3"/>
        <v/>
      </c>
      <c r="M43" s="27" t="str">
        <f t="shared" si="4"/>
        <v/>
      </c>
      <c r="N43" s="27">
        <v>1730</v>
      </c>
      <c r="O43" s="27" t="str">
        <f t="shared" si="5"/>
        <v/>
      </c>
      <c r="P43" s="29">
        <v>0.13800000000000001</v>
      </c>
      <c r="Q43" s="30">
        <f t="shared" si="6"/>
        <v>6.0112800000000011</v>
      </c>
      <c r="R43" s="30" t="str">
        <f>IF(AND(TRIM(Q43)&lt;&gt;"",TRIM(F43)&lt;&gt;""),(F43*127.999939675621)/Q43,"")</f>
        <v/>
      </c>
      <c r="S43" s="31"/>
      <c r="T43" s="31"/>
      <c r="U43" s="31"/>
      <c r="V43" s="31"/>
      <c r="W43" s="31"/>
      <c r="X43" s="31"/>
      <c r="Y43" s="31"/>
      <c r="Z43" s="31" t="str">
        <f>IF(AND(B43 = 1, AND(F43 &lt;&gt;"", F43 &lt; 1)), Z82,"")</f>
        <v/>
      </c>
      <c r="AA43" s="31"/>
      <c r="AB43" s="31"/>
      <c r="AC43" s="31"/>
      <c r="AD43" s="31">
        <v>1</v>
      </c>
      <c r="AE43" s="27">
        <f t="shared" si="7"/>
        <v>0</v>
      </c>
      <c r="AF43" s="25"/>
    </row>
    <row r="44" spans="2:39" x14ac:dyDescent="0.2">
      <c r="B44" s="24">
        <v>1</v>
      </c>
      <c r="C44" s="25" t="s">
        <v>132</v>
      </c>
      <c r="D44" s="25" t="s">
        <v>135</v>
      </c>
      <c r="E44" s="25" t="s">
        <v>134</v>
      </c>
      <c r="F44" s="26"/>
      <c r="G44" s="27">
        <v>1742.11</v>
      </c>
      <c r="H44" s="27" t="str">
        <f t="shared" si="0"/>
        <v/>
      </c>
      <c r="I44" s="27">
        <v>1691.76</v>
      </c>
      <c r="J44" s="27" t="str">
        <f t="shared" si="1"/>
        <v/>
      </c>
      <c r="K44" s="28">
        <f t="shared" si="2"/>
        <v>0</v>
      </c>
      <c r="L44" s="27" t="str">
        <f t="shared" si="3"/>
        <v/>
      </c>
      <c r="M44" s="27" t="str">
        <f t="shared" si="4"/>
        <v/>
      </c>
      <c r="N44" s="27">
        <v>1680</v>
      </c>
      <c r="O44" s="27" t="str">
        <f t="shared" si="5"/>
        <v/>
      </c>
      <c r="P44" s="29">
        <v>0.13800000000000001</v>
      </c>
      <c r="Q44" s="30">
        <f t="shared" si="6"/>
        <v>6.0112800000000011</v>
      </c>
      <c r="R44" s="30" t="str">
        <f>IF(AND(TRIM(Q44)&lt;&gt;"",TRIM(F44)&lt;&gt;""),(F44*127.999939675621)/Q44,"")</f>
        <v/>
      </c>
      <c r="S44" s="31"/>
      <c r="T44" s="31"/>
      <c r="U44" s="31"/>
      <c r="V44" s="31"/>
      <c r="W44" s="31"/>
      <c r="X44" s="31"/>
      <c r="Y44" s="31"/>
      <c r="Z44" s="31" t="str">
        <f>IF(AND(B44 = 1, AND(F44 &lt;&gt;"", F44 &lt; 1)), Z82,"")</f>
        <v/>
      </c>
      <c r="AA44" s="31"/>
      <c r="AB44" s="31"/>
      <c r="AC44" s="31"/>
      <c r="AD44" s="31">
        <v>1</v>
      </c>
      <c r="AE44" s="27">
        <f t="shared" si="7"/>
        <v>0</v>
      </c>
      <c r="AF44" s="25"/>
      <c r="AH44" s="71" t="s">
        <v>136</v>
      </c>
      <c r="AI44" s="71"/>
      <c r="AJ44" s="72"/>
      <c r="AK44" s="71"/>
      <c r="AL44" s="73"/>
      <c r="AM44" s="74"/>
    </row>
    <row r="45" spans="2:39" x14ac:dyDescent="0.2">
      <c r="B45" s="24">
        <v>1</v>
      </c>
      <c r="C45" s="25" t="s">
        <v>132</v>
      </c>
      <c r="D45" s="25" t="s">
        <v>137</v>
      </c>
      <c r="E45" s="25" t="s">
        <v>134</v>
      </c>
      <c r="F45" s="26"/>
      <c r="G45" s="27">
        <v>1742.11</v>
      </c>
      <c r="H45" s="27" t="str">
        <f t="shared" si="0"/>
        <v/>
      </c>
      <c r="I45" s="27">
        <v>1495.395</v>
      </c>
      <c r="J45" s="27" t="str">
        <f t="shared" si="1"/>
        <v/>
      </c>
      <c r="K45" s="28">
        <f t="shared" si="2"/>
        <v>0</v>
      </c>
      <c r="L45" s="27" t="str">
        <f t="shared" si="3"/>
        <v/>
      </c>
      <c r="M45" s="27" t="str">
        <f t="shared" si="4"/>
        <v/>
      </c>
      <c r="N45" s="27">
        <v>1485</v>
      </c>
      <c r="O45" s="27" t="str">
        <f t="shared" si="5"/>
        <v/>
      </c>
      <c r="P45" s="29">
        <v>0.13800000000000001</v>
      </c>
      <c r="Q45" s="30">
        <f t="shared" si="6"/>
        <v>6.0112800000000011</v>
      </c>
      <c r="R45" s="30" t="str">
        <f>IF(AND(TRIM(Q45)&lt;&gt;"",TRIM(F45)&lt;&gt;""),(F45*127.999939675621)/Q45,"")</f>
        <v/>
      </c>
      <c r="S45" s="31"/>
      <c r="T45" s="31"/>
      <c r="U45" s="31"/>
      <c r="V45" s="31"/>
      <c r="W45" s="31"/>
      <c r="X45" s="31"/>
      <c r="Y45" s="31"/>
      <c r="Z45" s="31" t="str">
        <f>IF(AND(B45 = 1, AND(F45 &lt;&gt;"", F45 &lt; 1)), Z82,"")</f>
        <v/>
      </c>
      <c r="AA45" s="31"/>
      <c r="AB45" s="31"/>
      <c r="AC45" s="31"/>
      <c r="AD45" s="31">
        <v>1</v>
      </c>
      <c r="AE45" s="27">
        <f t="shared" si="7"/>
        <v>0</v>
      </c>
      <c r="AF45" s="25"/>
      <c r="AH45" s="71"/>
      <c r="AI45" s="71"/>
      <c r="AJ45" s="72"/>
      <c r="AK45" s="71"/>
      <c r="AL45" s="73"/>
      <c r="AM45" s="74"/>
    </row>
    <row r="46" spans="2:39" x14ac:dyDescent="0.2">
      <c r="B46" s="24">
        <v>1</v>
      </c>
      <c r="C46" s="25" t="s">
        <v>132</v>
      </c>
      <c r="D46" s="25" t="s">
        <v>138</v>
      </c>
      <c r="E46" s="25" t="s">
        <v>134</v>
      </c>
      <c r="F46" s="26"/>
      <c r="G46" s="27">
        <v>1742.11</v>
      </c>
      <c r="H46" s="27" t="str">
        <f t="shared" si="0"/>
        <v/>
      </c>
      <c r="I46" s="27">
        <v>1445.0450000000001</v>
      </c>
      <c r="J46" s="27" t="str">
        <f t="shared" si="1"/>
        <v/>
      </c>
      <c r="K46" s="28">
        <f t="shared" si="2"/>
        <v>0</v>
      </c>
      <c r="L46" s="27" t="str">
        <f t="shared" si="3"/>
        <v/>
      </c>
      <c r="M46" s="27" t="str">
        <f t="shared" si="4"/>
        <v/>
      </c>
      <c r="N46" s="27">
        <v>1435</v>
      </c>
      <c r="O46" s="27" t="str">
        <f t="shared" si="5"/>
        <v/>
      </c>
      <c r="P46" s="29">
        <v>0.13800000000000001</v>
      </c>
      <c r="Q46" s="30">
        <f t="shared" si="6"/>
        <v>6.0112800000000011</v>
      </c>
      <c r="R46" s="30" t="str">
        <f>IF(AND(TRIM(Q46)&lt;&gt;"",TRIM(F46)&lt;&gt;""),(F46*127.999939675621)/Q46,"")</f>
        <v/>
      </c>
      <c r="S46" s="31"/>
      <c r="T46" s="31"/>
      <c r="U46" s="31"/>
      <c r="V46" s="31"/>
      <c r="W46" s="31"/>
      <c r="X46" s="31"/>
      <c r="Y46" s="31"/>
      <c r="Z46" s="31" t="str">
        <f>IF(AND(B46 = 1, AND(F46 &lt;&gt;"", F46 &lt; 1)), Z82,"")</f>
        <v/>
      </c>
      <c r="AA46" s="31"/>
      <c r="AB46" s="31"/>
      <c r="AC46" s="31"/>
      <c r="AD46" s="31">
        <v>1</v>
      </c>
      <c r="AE46" s="27">
        <f t="shared" si="7"/>
        <v>0</v>
      </c>
      <c r="AF46" s="25"/>
      <c r="AH46" s="75"/>
      <c r="AI46" s="75"/>
      <c r="AJ46" s="76"/>
      <c r="AK46" s="75"/>
      <c r="AL46" s="77"/>
      <c r="AM46" s="78"/>
    </row>
    <row r="47" spans="2:39" x14ac:dyDescent="0.2">
      <c r="B47" s="24"/>
      <c r="C47" s="25" t="s">
        <v>139</v>
      </c>
      <c r="D47" s="25" t="s">
        <v>140</v>
      </c>
      <c r="E47" s="25" t="s">
        <v>141</v>
      </c>
      <c r="F47" s="26"/>
      <c r="G47" s="27">
        <v>256.02974999999998</v>
      </c>
      <c r="H47" s="27" t="str">
        <f t="shared" si="0"/>
        <v/>
      </c>
      <c r="I47" s="27">
        <v>256.02974999999998</v>
      </c>
      <c r="J47" s="27" t="str">
        <f t="shared" si="1"/>
        <v/>
      </c>
      <c r="K47" s="28">
        <f t="shared" si="2"/>
        <v>0</v>
      </c>
      <c r="L47" s="27" t="str">
        <f t="shared" si="3"/>
        <v/>
      </c>
      <c r="M47" s="27" t="str">
        <f t="shared" si="4"/>
        <v/>
      </c>
      <c r="N47" s="27">
        <v>0</v>
      </c>
      <c r="O47" s="27" t="str">
        <f t="shared" si="5"/>
        <v/>
      </c>
      <c r="P47" s="29">
        <v>0.15</v>
      </c>
      <c r="Q47" s="30">
        <f t="shared" si="6"/>
        <v>6.5339999999999998</v>
      </c>
      <c r="R47" s="30" t="str">
        <f>IF(AND(TRIM(Q47)&lt;&gt;"",TRIM(F47)&lt;&gt;""),(F47*18)/Q47,"")</f>
        <v/>
      </c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27">
        <f t="shared" si="7"/>
        <v>0</v>
      </c>
      <c r="AF47" s="25"/>
      <c r="AH47" s="75"/>
      <c r="AI47" s="75"/>
      <c r="AJ47" s="76"/>
      <c r="AK47" s="75"/>
      <c r="AL47" s="77"/>
      <c r="AM47" s="78"/>
    </row>
    <row r="48" spans="2:39" x14ac:dyDescent="0.2">
      <c r="B48" s="24">
        <v>1</v>
      </c>
      <c r="C48" s="25" t="s">
        <v>30</v>
      </c>
      <c r="D48" s="25" t="s">
        <v>31</v>
      </c>
      <c r="E48" s="25" t="s">
        <v>32</v>
      </c>
      <c r="F48" s="26"/>
      <c r="G48" s="27">
        <v>101.70699999999999</v>
      </c>
      <c r="H48" s="27" t="str">
        <f t="shared" si="0"/>
        <v/>
      </c>
      <c r="I48" s="27">
        <v>101.70699999999999</v>
      </c>
      <c r="J48" s="27" t="str">
        <f t="shared" si="1"/>
        <v/>
      </c>
      <c r="K48" s="28">
        <f t="shared" ca="1" si="2"/>
        <v>0</v>
      </c>
      <c r="L48" s="27" t="str">
        <f t="shared" si="3"/>
        <v/>
      </c>
      <c r="M48" s="27" t="str">
        <f t="shared" si="4"/>
        <v/>
      </c>
      <c r="N48" s="27">
        <v>101</v>
      </c>
      <c r="O48" s="27" t="str">
        <f t="shared" si="5"/>
        <v/>
      </c>
      <c r="P48" s="29">
        <v>3.45</v>
      </c>
      <c r="Q48" s="30">
        <f t="shared" si="6"/>
        <v>150.28200000000001</v>
      </c>
      <c r="R48" s="30" t="str">
        <f>IF(AND(TRIM(Q48)&lt;&gt;"",TRIM(F48)&lt;&gt;""),(F48*50)/Q48,"")</f>
        <v/>
      </c>
      <c r="S48" s="31" t="str">
        <f ca="1">IF(AND(F48 &lt;&gt;"",F48&gt;0), IFERROR(VLOOKUP(F48,INDIRECT(AF48),3,TRUE),0), "")</f>
        <v/>
      </c>
      <c r="T48" s="31"/>
      <c r="U48" s="31"/>
      <c r="V48" s="31"/>
      <c r="W48" s="31"/>
      <c r="X48" s="31"/>
      <c r="Y48" s="31"/>
      <c r="Z48" s="31" t="str">
        <f>IF(AND(B48 = 1, F48 &lt;&gt;""), Z82,"")</f>
        <v/>
      </c>
      <c r="AA48" s="31"/>
      <c r="AB48" s="31"/>
      <c r="AC48" s="31"/>
      <c r="AD48" s="31">
        <v>1</v>
      </c>
      <c r="AE48" s="27">
        <f t="shared" si="7"/>
        <v>0</v>
      </c>
      <c r="AF48" s="25" t="s">
        <v>142</v>
      </c>
      <c r="AH48" s="63"/>
      <c r="AI48" s="63"/>
      <c r="AJ48" s="64"/>
      <c r="AK48" s="63"/>
      <c r="AL48" s="65"/>
      <c r="AM48" s="66"/>
    </row>
    <row r="49" spans="2:39" ht="27" x14ac:dyDescent="0.2">
      <c r="B49" s="24"/>
      <c r="C49" s="25" t="s">
        <v>143</v>
      </c>
      <c r="D49" s="25" t="s">
        <v>144</v>
      </c>
      <c r="E49" s="25" t="s">
        <v>16</v>
      </c>
      <c r="F49" s="26"/>
      <c r="G49" s="27">
        <v>855.95</v>
      </c>
      <c r="H49" s="27" t="str">
        <f t="shared" si="0"/>
        <v/>
      </c>
      <c r="I49" s="27">
        <v>855.95</v>
      </c>
      <c r="J49" s="27" t="str">
        <f t="shared" si="1"/>
        <v/>
      </c>
      <c r="K49" s="28">
        <f t="shared" si="2"/>
        <v>0</v>
      </c>
      <c r="L49" s="27" t="str">
        <f t="shared" si="3"/>
        <v/>
      </c>
      <c r="M49" s="27" t="str">
        <f t="shared" si="4"/>
        <v/>
      </c>
      <c r="N49" s="27">
        <v>0</v>
      </c>
      <c r="O49" s="27" t="str">
        <f t="shared" si="5"/>
        <v/>
      </c>
      <c r="P49" s="29">
        <v>2</v>
      </c>
      <c r="Q49" s="30">
        <f t="shared" si="6"/>
        <v>87.12</v>
      </c>
      <c r="R49" s="30" t="str">
        <f>IF(AND(TRIM(Q49)&lt;&gt;"",TRIM(F49)&lt;&gt;""),(F49*319.999849189052)/Q49,"")</f>
        <v/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27">
        <f t="shared" si="7"/>
        <v>0</v>
      </c>
      <c r="AF49" s="25"/>
      <c r="AH49" s="32" t="s">
        <v>87</v>
      </c>
      <c r="AI49" s="33" t="s">
        <v>50</v>
      </c>
      <c r="AJ49" s="34" t="s">
        <v>51</v>
      </c>
      <c r="AK49" s="33" t="s">
        <v>88</v>
      </c>
      <c r="AL49" s="35" t="s">
        <v>60</v>
      </c>
      <c r="AM49" s="36" t="s">
        <v>89</v>
      </c>
    </row>
    <row r="50" spans="2:39" x14ac:dyDescent="0.2">
      <c r="B50" s="24"/>
      <c r="C50" s="25" t="s">
        <v>143</v>
      </c>
      <c r="D50" s="25" t="s">
        <v>145</v>
      </c>
      <c r="E50" s="25" t="s">
        <v>16</v>
      </c>
      <c r="F50" s="26"/>
      <c r="G50" s="27">
        <v>855.95</v>
      </c>
      <c r="H50" s="27" t="str">
        <f t="shared" si="0"/>
        <v/>
      </c>
      <c r="I50" s="27">
        <v>780.42499999999995</v>
      </c>
      <c r="J50" s="27" t="str">
        <f t="shared" si="1"/>
        <v/>
      </c>
      <c r="K50" s="28">
        <f t="shared" si="2"/>
        <v>0</v>
      </c>
      <c r="L50" s="27" t="str">
        <f t="shared" si="3"/>
        <v/>
      </c>
      <c r="M50" s="27" t="str">
        <f t="shared" si="4"/>
        <v/>
      </c>
      <c r="N50" s="27">
        <v>0</v>
      </c>
      <c r="O50" s="27" t="str">
        <f t="shared" si="5"/>
        <v/>
      </c>
      <c r="P50" s="29">
        <v>2</v>
      </c>
      <c r="Q50" s="30">
        <f t="shared" si="6"/>
        <v>87.12</v>
      </c>
      <c r="R50" s="30" t="str">
        <f>IF(AND(TRIM(Q50)&lt;&gt;"",TRIM(F50)&lt;&gt;""),(F50*319.999849189052)/Q50,"")</f>
        <v/>
      </c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27">
        <f t="shared" si="7"/>
        <v>0</v>
      </c>
      <c r="AF50" s="25"/>
      <c r="AH50" s="37" t="s">
        <v>146</v>
      </c>
      <c r="AI50" s="38" t="s">
        <v>134</v>
      </c>
      <c r="AJ50" s="39">
        <v>2</v>
      </c>
      <c r="AK50" s="24" t="s">
        <v>147</v>
      </c>
      <c r="AL50" s="40">
        <v>0.13800000000000001</v>
      </c>
      <c r="AM50" s="30">
        <v>42.586583781031898</v>
      </c>
    </row>
    <row r="51" spans="2:39" x14ac:dyDescent="0.2">
      <c r="B51" s="24">
        <v>1</v>
      </c>
      <c r="C51" s="25" t="s">
        <v>148</v>
      </c>
      <c r="D51" s="25" t="s">
        <v>149</v>
      </c>
      <c r="E51" s="25" t="s">
        <v>98</v>
      </c>
      <c r="F51" s="26"/>
      <c r="G51" s="27">
        <v>402.8</v>
      </c>
      <c r="H51" s="27" t="str">
        <f t="shared" si="0"/>
        <v/>
      </c>
      <c r="I51" s="27">
        <v>402.8</v>
      </c>
      <c r="J51" s="27" t="str">
        <f t="shared" si="1"/>
        <v/>
      </c>
      <c r="K51" s="28">
        <f t="shared" si="2"/>
        <v>0</v>
      </c>
      <c r="L51" s="27" t="str">
        <f t="shared" si="3"/>
        <v/>
      </c>
      <c r="M51" s="27" t="str">
        <f t="shared" si="4"/>
        <v/>
      </c>
      <c r="N51" s="27">
        <v>400</v>
      </c>
      <c r="O51" s="27" t="str">
        <f t="shared" si="5"/>
        <v/>
      </c>
      <c r="P51" s="29">
        <v>0.73499999999999999</v>
      </c>
      <c r="Q51" s="30">
        <f t="shared" si="6"/>
        <v>32.016600000000004</v>
      </c>
      <c r="R51" s="30" t="str">
        <f>IF(AND(TRIM(Q51)&lt;&gt;"",TRIM(F51)&lt;&gt;""),(F51*127.999939675621)/Q51,"")</f>
        <v/>
      </c>
      <c r="S51" s="31"/>
      <c r="T51" s="31"/>
      <c r="U51" s="31"/>
      <c r="V51" s="31"/>
      <c r="W51" s="31"/>
      <c r="X51" s="31"/>
      <c r="Y51" s="31"/>
      <c r="Z51" s="31" t="str">
        <f>IF(AND(B51 = 1, F51 &lt;&gt;""), Z82,"")</f>
        <v/>
      </c>
      <c r="AA51" s="31" t="str">
        <f>IF(F51 = "", "", IF(AND(AND(F51 &gt;= 4, F51 &lt;= 999999), AND(SUM(F28:F28) &gt;= 1, SUM(F28:F28) &lt; 999999)), 0.05,""))</f>
        <v/>
      </c>
      <c r="AB51" s="31"/>
      <c r="AC51" s="31"/>
      <c r="AD51" s="31">
        <v>1</v>
      </c>
      <c r="AE51" s="27">
        <f t="shared" si="7"/>
        <v>0</v>
      </c>
      <c r="AF51" s="25"/>
      <c r="AH51" s="37" t="s">
        <v>150</v>
      </c>
      <c r="AI51" s="38" t="s">
        <v>151</v>
      </c>
      <c r="AJ51" s="39">
        <v>6</v>
      </c>
      <c r="AK51" s="24" t="s">
        <v>152</v>
      </c>
      <c r="AL51" s="40">
        <v>2.3E-2</v>
      </c>
      <c r="AM51" s="30">
        <v>35.932446999640703</v>
      </c>
    </row>
    <row r="52" spans="2:39" ht="27" x14ac:dyDescent="0.2">
      <c r="B52" s="24">
        <v>1</v>
      </c>
      <c r="C52" s="25" t="s">
        <v>155</v>
      </c>
      <c r="D52" s="25" t="s">
        <v>156</v>
      </c>
      <c r="E52" s="25" t="s">
        <v>151</v>
      </c>
      <c r="F52" s="26"/>
      <c r="G52" s="27">
        <v>375.20819999999998</v>
      </c>
      <c r="H52" s="27" t="str">
        <f t="shared" si="0"/>
        <v/>
      </c>
      <c r="I52" s="27">
        <v>375.20819999999998</v>
      </c>
      <c r="J52" s="27" t="str">
        <f t="shared" si="1"/>
        <v/>
      </c>
      <c r="K52" s="28">
        <f t="shared" si="2"/>
        <v>0</v>
      </c>
      <c r="L52" s="27" t="str">
        <f t="shared" si="3"/>
        <v/>
      </c>
      <c r="M52" s="27" t="str">
        <f t="shared" si="4"/>
        <v/>
      </c>
      <c r="N52" s="27">
        <v>372.6</v>
      </c>
      <c r="O52" s="27" t="str">
        <f t="shared" si="5"/>
        <v/>
      </c>
      <c r="P52" s="29">
        <v>2.3E-2</v>
      </c>
      <c r="Q52" s="30">
        <f t="shared" si="6"/>
        <v>1.0018800000000001</v>
      </c>
      <c r="R52" s="30" t="str">
        <f>IF(AND(TRIM(Q52)&lt;&gt;"",TRIM(F52)&lt;&gt;""),(F52*6)/Q52,"")</f>
        <v/>
      </c>
      <c r="S52" s="31"/>
      <c r="T52" s="31"/>
      <c r="U52" s="31"/>
      <c r="V52" s="31"/>
      <c r="W52" s="31"/>
      <c r="X52" s="31"/>
      <c r="Y52" s="31"/>
      <c r="Z52" s="31" t="str">
        <f>IF(AND(B52 = 1, F52 &lt;&gt;""), Z82,"")</f>
        <v/>
      </c>
      <c r="AA52" s="31" t="str">
        <f>IF(F52 = "", "", IF(AND(AND(F52 &gt;= 6, F52 &lt;= 999999), AND(SUM(F43:F46) &gt;= 2, SUM(F43:F46) &lt; 999999)), 0.120772946859,""))</f>
        <v/>
      </c>
      <c r="AB52" s="31"/>
      <c r="AC52" s="31"/>
      <c r="AD52" s="31">
        <v>1</v>
      </c>
      <c r="AE52" s="27">
        <f t="shared" si="7"/>
        <v>0</v>
      </c>
      <c r="AF52" s="25"/>
      <c r="AH52" s="32" t="s">
        <v>102</v>
      </c>
      <c r="AI52" s="33" t="s">
        <v>50</v>
      </c>
      <c r="AJ52" s="34" t="s">
        <v>51</v>
      </c>
      <c r="AK52" s="33" t="s">
        <v>88</v>
      </c>
      <c r="AL52" s="35" t="s">
        <v>60</v>
      </c>
      <c r="AM52" s="36" t="s">
        <v>89</v>
      </c>
    </row>
    <row r="53" spans="2:39" x14ac:dyDescent="0.2">
      <c r="B53" s="90" t="s">
        <v>157</v>
      </c>
      <c r="C53" s="90"/>
      <c r="D53" s="90"/>
      <c r="E53" s="90"/>
      <c r="F53" s="91"/>
      <c r="G53" s="92"/>
      <c r="H53" s="92"/>
      <c r="I53" s="92"/>
      <c r="J53" s="92"/>
      <c r="K53" s="93"/>
      <c r="L53" s="92"/>
      <c r="M53" s="92"/>
      <c r="N53" s="92"/>
      <c r="O53" s="92"/>
      <c r="P53" s="94"/>
      <c r="Q53" s="95"/>
      <c r="R53" s="95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2"/>
      <c r="AF53" s="21"/>
      <c r="AH53" s="67" t="s">
        <v>105</v>
      </c>
      <c r="AI53" s="67"/>
      <c r="AJ53" s="68"/>
      <c r="AK53" s="67"/>
      <c r="AL53" s="69"/>
      <c r="AM53" s="70"/>
    </row>
    <row r="54" spans="2:39" x14ac:dyDescent="0.2">
      <c r="B54" s="87" t="s">
        <v>49</v>
      </c>
      <c r="C54" s="97" t="s">
        <v>6</v>
      </c>
      <c r="D54" s="97" t="s">
        <v>7</v>
      </c>
      <c r="E54" s="97" t="s">
        <v>50</v>
      </c>
      <c r="F54" s="142" t="s">
        <v>51</v>
      </c>
      <c r="G54" s="84" t="s">
        <v>52</v>
      </c>
      <c r="H54" s="84" t="s">
        <v>53</v>
      </c>
      <c r="I54" s="101" t="s">
        <v>54</v>
      </c>
      <c r="J54" s="101" t="s">
        <v>55</v>
      </c>
      <c r="K54" s="104" t="s">
        <v>11</v>
      </c>
      <c r="L54" s="84" t="s">
        <v>56</v>
      </c>
      <c r="M54" s="101" t="s">
        <v>57</v>
      </c>
      <c r="N54" s="84" t="s">
        <v>58</v>
      </c>
      <c r="O54" s="84" t="s">
        <v>59</v>
      </c>
      <c r="P54" s="81" t="s">
        <v>60</v>
      </c>
      <c r="Q54" s="110" t="s">
        <v>61</v>
      </c>
      <c r="R54" s="110" t="s">
        <v>62</v>
      </c>
      <c r="S54" s="81" t="s">
        <v>63</v>
      </c>
      <c r="T54" s="81" t="s">
        <v>64</v>
      </c>
      <c r="U54" s="81" t="s">
        <v>65</v>
      </c>
      <c r="V54" s="81" t="s">
        <v>66</v>
      </c>
      <c r="W54" s="81" t="s">
        <v>67</v>
      </c>
      <c r="X54" s="81" t="s">
        <v>68</v>
      </c>
      <c r="Y54" s="81" t="s">
        <v>69</v>
      </c>
      <c r="Z54" s="81" t="s">
        <v>2</v>
      </c>
      <c r="AA54" s="81" t="s">
        <v>70</v>
      </c>
      <c r="AB54" s="81" t="s">
        <v>71</v>
      </c>
      <c r="AC54" s="81" t="s">
        <v>72</v>
      </c>
      <c r="AD54" s="81" t="s">
        <v>73</v>
      </c>
      <c r="AE54" s="84" t="s">
        <v>49</v>
      </c>
      <c r="AF54" s="87" t="s">
        <v>74</v>
      </c>
    </row>
    <row r="55" spans="2:39" x14ac:dyDescent="0.2">
      <c r="B55" s="88"/>
      <c r="C55" s="88"/>
      <c r="D55" s="88"/>
      <c r="E55" s="88"/>
      <c r="F55" s="99"/>
      <c r="G55" s="85"/>
      <c r="H55" s="85"/>
      <c r="I55" s="102"/>
      <c r="J55" s="85"/>
      <c r="K55" s="105"/>
      <c r="L55" s="85"/>
      <c r="M55" s="85"/>
      <c r="N55" s="85"/>
      <c r="O55" s="85"/>
      <c r="P55" s="108"/>
      <c r="Q55" s="111"/>
      <c r="R55" s="111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5"/>
      <c r="AF55" s="88"/>
    </row>
    <row r="56" spans="2:39" x14ac:dyDescent="0.2">
      <c r="B56" s="96"/>
      <c r="C56" s="89"/>
      <c r="D56" s="89"/>
      <c r="E56" s="89"/>
      <c r="F56" s="100"/>
      <c r="G56" s="86"/>
      <c r="H56" s="86"/>
      <c r="I56" s="103"/>
      <c r="J56" s="86"/>
      <c r="K56" s="106"/>
      <c r="L56" s="86"/>
      <c r="M56" s="86"/>
      <c r="N56" s="86"/>
      <c r="O56" s="86"/>
      <c r="P56" s="109"/>
      <c r="Q56" s="112"/>
      <c r="R56" s="112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6"/>
      <c r="AF56" s="89"/>
      <c r="AH56" s="71" t="s">
        <v>158</v>
      </c>
      <c r="AI56" s="71"/>
      <c r="AJ56" s="72"/>
      <c r="AK56" s="71"/>
      <c r="AL56" s="73"/>
      <c r="AM56" s="74"/>
    </row>
    <row r="57" spans="2:39" x14ac:dyDescent="0.2">
      <c r="B57" s="24"/>
      <c r="C57" s="25" t="s">
        <v>159</v>
      </c>
      <c r="D57" s="25" t="s">
        <v>160</v>
      </c>
      <c r="E57" s="25" t="s">
        <v>16</v>
      </c>
      <c r="F57" s="26"/>
      <c r="G57" s="52">
        <v>0</v>
      </c>
      <c r="H57" s="52" t="str">
        <f t="shared" ref="H57:H81" si="8">IF(F57*I57= 0,"",F57*I57)</f>
        <v/>
      </c>
      <c r="I57" s="41"/>
      <c r="J57" s="27" t="str">
        <f t="shared" ref="J57:J81" si="9">IF(F57*I57= 0,"",F57*I57)</f>
        <v/>
      </c>
      <c r="K57" s="28">
        <f t="shared" ref="K57:K81" si="10">IF(AND(AD57 &lt;&gt; "", SUM(S57:AC57) &lt;= AD57), SUM(S57:AC57), AD57)</f>
        <v>0</v>
      </c>
      <c r="L57" s="27" t="str">
        <f t="shared" ref="L57:L81" si="11">IF(F57 ="","",F57*K57*N57)</f>
        <v/>
      </c>
      <c r="M57" s="27" t="str">
        <f t="shared" ref="M57:M81" si="12">IF(AND(AND(F57&lt;&gt;"",F57&gt;0), AND(I57&lt;&gt;"",I57&gt;0)),((J57/F57)-(L57/F57)),"")</f>
        <v/>
      </c>
      <c r="N57" s="27">
        <v>0</v>
      </c>
      <c r="O57" s="27" t="str">
        <f t="shared" ref="O57:O81" si="13">IF(AND(AND(F57&lt;&gt;"",F57&gt;0),AND(I57&lt;&gt;"",I57&gt;0)), F57*M57,"")</f>
        <v/>
      </c>
      <c r="P57" s="29">
        <v>4</v>
      </c>
      <c r="Q57" s="30">
        <f t="shared" ref="Q57:Q81" si="14">P57*43.56</f>
        <v>174.24</v>
      </c>
      <c r="R57" s="30" t="str">
        <f>IF(AND(TRIM(Q57)&lt;&gt;"",TRIM(F57)&lt;&gt;""),(F57*319.999849189052)/Q57,"")</f>
        <v/>
      </c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27">
        <f t="shared" ref="AE57:AE81" si="15">IF(F57 = "",0,N57*F57)</f>
        <v>0</v>
      </c>
      <c r="AF57" s="25"/>
      <c r="AH57" s="71"/>
      <c r="AI57" s="71"/>
      <c r="AJ57" s="72"/>
      <c r="AK57" s="71"/>
      <c r="AL57" s="73"/>
      <c r="AM57" s="74"/>
    </row>
    <row r="58" spans="2:39" x14ac:dyDescent="0.2">
      <c r="B58" s="24"/>
      <c r="C58" s="25" t="s">
        <v>161</v>
      </c>
      <c r="D58" s="25" t="s">
        <v>162</v>
      </c>
      <c r="E58" s="25" t="s">
        <v>134</v>
      </c>
      <c r="F58" s="26"/>
      <c r="G58" s="52">
        <v>0</v>
      </c>
      <c r="H58" s="52" t="str">
        <f t="shared" si="8"/>
        <v/>
      </c>
      <c r="I58" s="41"/>
      <c r="J58" s="27" t="str">
        <f t="shared" si="9"/>
        <v/>
      </c>
      <c r="K58" s="28">
        <f t="shared" si="10"/>
        <v>0</v>
      </c>
      <c r="L58" s="27" t="str">
        <f t="shared" si="11"/>
        <v/>
      </c>
      <c r="M58" s="27" t="str">
        <f t="shared" si="12"/>
        <v/>
      </c>
      <c r="N58" s="27">
        <v>0</v>
      </c>
      <c r="O58" s="27" t="str">
        <f t="shared" si="13"/>
        <v/>
      </c>
      <c r="P58" s="29">
        <v>0.5</v>
      </c>
      <c r="Q58" s="30">
        <f t="shared" si="14"/>
        <v>21.78</v>
      </c>
      <c r="R58" s="30" t="str">
        <f>IF(AND(TRIM(Q58)&lt;&gt;"",TRIM(F58)&lt;&gt;""),(F58*127.999939675621)/Q58,"")</f>
        <v/>
      </c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27">
        <f t="shared" si="15"/>
        <v>0</v>
      </c>
      <c r="AF58" s="25"/>
      <c r="AH58" s="75"/>
      <c r="AI58" s="75"/>
      <c r="AJ58" s="76"/>
      <c r="AK58" s="75"/>
      <c r="AL58" s="77"/>
      <c r="AM58" s="78"/>
    </row>
    <row r="59" spans="2:39" x14ac:dyDescent="0.2">
      <c r="B59" s="24"/>
      <c r="C59" s="25" t="s">
        <v>163</v>
      </c>
      <c r="D59" s="25" t="s">
        <v>162</v>
      </c>
      <c r="E59" s="25" t="s">
        <v>164</v>
      </c>
      <c r="F59" s="26"/>
      <c r="G59" s="52">
        <v>0</v>
      </c>
      <c r="H59" s="52" t="str">
        <f t="shared" si="8"/>
        <v/>
      </c>
      <c r="I59" s="41"/>
      <c r="J59" s="27" t="str">
        <f t="shared" si="9"/>
        <v/>
      </c>
      <c r="K59" s="28">
        <f t="shared" si="10"/>
        <v>0</v>
      </c>
      <c r="L59" s="27" t="str">
        <f t="shared" si="11"/>
        <v/>
      </c>
      <c r="M59" s="27" t="str">
        <f t="shared" si="12"/>
        <v/>
      </c>
      <c r="N59" s="27">
        <v>0</v>
      </c>
      <c r="O59" s="27" t="str">
        <f t="shared" si="13"/>
        <v/>
      </c>
      <c r="P59" s="29">
        <v>0.5</v>
      </c>
      <c r="Q59" s="30">
        <f t="shared" si="14"/>
        <v>21.78</v>
      </c>
      <c r="R59" s="30" t="str">
        <f>IF(AND(TRIM(Q59)&lt;&gt;"",TRIM(F59)&lt;&gt;""),(F59*15.9999999999797)/Q59,"")</f>
        <v/>
      </c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27">
        <f t="shared" si="15"/>
        <v>0</v>
      </c>
      <c r="AF59" s="25"/>
      <c r="AH59" s="75"/>
      <c r="AI59" s="75"/>
      <c r="AJ59" s="76"/>
      <c r="AK59" s="75"/>
      <c r="AL59" s="77"/>
      <c r="AM59" s="78"/>
    </row>
    <row r="60" spans="2:39" x14ac:dyDescent="0.2">
      <c r="B60" s="24"/>
      <c r="C60" s="25" t="s">
        <v>165</v>
      </c>
      <c r="D60" s="25" t="s">
        <v>166</v>
      </c>
      <c r="E60" s="25" t="s">
        <v>167</v>
      </c>
      <c r="F60" s="26"/>
      <c r="G60" s="52">
        <v>0</v>
      </c>
      <c r="H60" s="52" t="str">
        <f t="shared" si="8"/>
        <v/>
      </c>
      <c r="I60" s="41"/>
      <c r="J60" s="27" t="str">
        <f t="shared" si="9"/>
        <v/>
      </c>
      <c r="K60" s="28">
        <f t="shared" si="10"/>
        <v>0</v>
      </c>
      <c r="L60" s="27" t="str">
        <f t="shared" si="11"/>
        <v/>
      </c>
      <c r="M60" s="27" t="str">
        <f t="shared" si="12"/>
        <v/>
      </c>
      <c r="N60" s="27">
        <v>0</v>
      </c>
      <c r="O60" s="27" t="str">
        <f t="shared" si="13"/>
        <v/>
      </c>
      <c r="P60" s="29">
        <v>1.2</v>
      </c>
      <c r="Q60" s="30">
        <f t="shared" si="14"/>
        <v>52.271999999999998</v>
      </c>
      <c r="R60" s="30" t="str">
        <f>IF(AND(TRIM(Q60)&lt;&gt;"",TRIM(F60)&lt;&gt;""),(F60*31.9999999550214)/Q60,"")</f>
        <v/>
      </c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27">
        <f t="shared" si="15"/>
        <v>0</v>
      </c>
      <c r="AF60" s="25"/>
      <c r="AH60" s="63"/>
      <c r="AI60" s="63"/>
      <c r="AJ60" s="64"/>
      <c r="AK60" s="63"/>
      <c r="AL60" s="65"/>
      <c r="AM60" s="66"/>
    </row>
    <row r="61" spans="2:39" ht="27" x14ac:dyDescent="0.2">
      <c r="B61" s="24"/>
      <c r="C61" s="25" t="s">
        <v>168</v>
      </c>
      <c r="D61" s="25" t="s">
        <v>169</v>
      </c>
      <c r="E61" s="25" t="s">
        <v>16</v>
      </c>
      <c r="F61" s="26"/>
      <c r="G61" s="52">
        <v>0</v>
      </c>
      <c r="H61" s="52" t="str">
        <f t="shared" si="8"/>
        <v/>
      </c>
      <c r="I61" s="41"/>
      <c r="J61" s="27" t="str">
        <f t="shared" si="9"/>
        <v/>
      </c>
      <c r="K61" s="28">
        <f t="shared" si="10"/>
        <v>0</v>
      </c>
      <c r="L61" s="27" t="str">
        <f t="shared" si="11"/>
        <v/>
      </c>
      <c r="M61" s="27" t="str">
        <f t="shared" si="12"/>
        <v/>
      </c>
      <c r="N61" s="27">
        <v>0</v>
      </c>
      <c r="O61" s="27" t="str">
        <f t="shared" si="13"/>
        <v/>
      </c>
      <c r="P61" s="29">
        <v>4</v>
      </c>
      <c r="Q61" s="30">
        <f t="shared" si="14"/>
        <v>174.24</v>
      </c>
      <c r="R61" s="30" t="str">
        <f>IF(AND(TRIM(Q61)&lt;&gt;"",TRIM(F61)&lt;&gt;""),(F61*319.999849189052)/Q61,"")</f>
        <v/>
      </c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27">
        <f t="shared" si="15"/>
        <v>0</v>
      </c>
      <c r="AF61" s="25"/>
      <c r="AH61" s="32" t="s">
        <v>87</v>
      </c>
      <c r="AI61" s="33" t="s">
        <v>50</v>
      </c>
      <c r="AJ61" s="34" t="s">
        <v>51</v>
      </c>
      <c r="AK61" s="33" t="s">
        <v>88</v>
      </c>
      <c r="AL61" s="35" t="s">
        <v>60</v>
      </c>
      <c r="AM61" s="36" t="s">
        <v>89</v>
      </c>
    </row>
    <row r="62" spans="2:39" x14ac:dyDescent="0.2">
      <c r="B62" s="24"/>
      <c r="C62" s="25" t="s">
        <v>172</v>
      </c>
      <c r="D62" s="25" t="s">
        <v>173</v>
      </c>
      <c r="E62" s="25" t="s">
        <v>16</v>
      </c>
      <c r="F62" s="26"/>
      <c r="G62" s="52">
        <v>0</v>
      </c>
      <c r="H62" s="52" t="str">
        <f t="shared" si="8"/>
        <v/>
      </c>
      <c r="I62" s="41"/>
      <c r="J62" s="27" t="str">
        <f t="shared" si="9"/>
        <v/>
      </c>
      <c r="K62" s="28">
        <f t="shared" si="10"/>
        <v>0</v>
      </c>
      <c r="L62" s="27" t="str">
        <f t="shared" si="11"/>
        <v/>
      </c>
      <c r="M62" s="27" t="str">
        <f t="shared" si="12"/>
        <v/>
      </c>
      <c r="N62" s="27">
        <v>0</v>
      </c>
      <c r="O62" s="27" t="str">
        <f t="shared" si="13"/>
        <v/>
      </c>
      <c r="P62" s="29">
        <v>3</v>
      </c>
      <c r="Q62" s="30">
        <f t="shared" si="14"/>
        <v>130.68</v>
      </c>
      <c r="R62" s="30" t="str">
        <f>IF(AND(TRIM(Q62)&lt;&gt;"",TRIM(F62)&lt;&gt;""),(F62*319.999849189052)/Q62,"")</f>
        <v/>
      </c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27">
        <f t="shared" si="15"/>
        <v>0</v>
      </c>
      <c r="AF62" s="25"/>
      <c r="AH62" s="37" t="s">
        <v>170</v>
      </c>
      <c r="AI62" s="38" t="s">
        <v>16</v>
      </c>
      <c r="AJ62" s="39">
        <v>4</v>
      </c>
      <c r="AK62" s="24" t="s">
        <v>171</v>
      </c>
      <c r="AL62" s="40">
        <v>2</v>
      </c>
      <c r="AM62" s="30">
        <v>14.692371404456001</v>
      </c>
    </row>
    <row r="63" spans="2:39" x14ac:dyDescent="0.2">
      <c r="B63" s="24"/>
      <c r="C63" s="25" t="s">
        <v>176</v>
      </c>
      <c r="D63" s="25" t="s">
        <v>177</v>
      </c>
      <c r="E63" s="25" t="s">
        <v>178</v>
      </c>
      <c r="F63" s="26"/>
      <c r="G63" s="52">
        <v>0</v>
      </c>
      <c r="H63" s="52" t="str">
        <f t="shared" si="8"/>
        <v/>
      </c>
      <c r="I63" s="41"/>
      <c r="J63" s="27" t="str">
        <f t="shared" si="9"/>
        <v/>
      </c>
      <c r="K63" s="28">
        <f t="shared" si="10"/>
        <v>0</v>
      </c>
      <c r="L63" s="27" t="str">
        <f t="shared" si="11"/>
        <v/>
      </c>
      <c r="M63" s="27" t="str">
        <f t="shared" si="12"/>
        <v/>
      </c>
      <c r="N63" s="27">
        <v>0</v>
      </c>
      <c r="O63" s="27" t="str">
        <f t="shared" si="13"/>
        <v/>
      </c>
      <c r="P63" s="29">
        <v>4</v>
      </c>
      <c r="Q63" s="30">
        <f t="shared" si="14"/>
        <v>174.24</v>
      </c>
      <c r="R63" s="30" t="str">
        <f>IF(AND(TRIM(Q63)&lt;&gt;"",TRIM(F63)&lt;&gt;""),(F63*87.9999998763089)/Q63,"")</f>
        <v/>
      </c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27">
        <f t="shared" si="15"/>
        <v>0</v>
      </c>
      <c r="AF63" s="25"/>
      <c r="AH63" s="37" t="s">
        <v>174</v>
      </c>
      <c r="AI63" s="38" t="s">
        <v>92</v>
      </c>
      <c r="AJ63" s="39">
        <v>3</v>
      </c>
      <c r="AK63" s="24" t="s">
        <v>175</v>
      </c>
      <c r="AL63" s="40">
        <v>4</v>
      </c>
      <c r="AM63" s="30">
        <v>12.1212121041748</v>
      </c>
    </row>
    <row r="64" spans="2:39" ht="27" x14ac:dyDescent="0.2">
      <c r="B64" s="24"/>
      <c r="C64" s="25" t="s">
        <v>179</v>
      </c>
      <c r="D64" s="25" t="s">
        <v>180</v>
      </c>
      <c r="E64" s="25" t="s">
        <v>181</v>
      </c>
      <c r="F64" s="26"/>
      <c r="G64" s="52">
        <v>0</v>
      </c>
      <c r="H64" s="52" t="str">
        <f t="shared" si="8"/>
        <v/>
      </c>
      <c r="I64" s="41"/>
      <c r="J64" s="27" t="str">
        <f t="shared" si="9"/>
        <v/>
      </c>
      <c r="K64" s="28">
        <f t="shared" si="10"/>
        <v>0</v>
      </c>
      <c r="L64" s="27" t="str">
        <f t="shared" si="11"/>
        <v/>
      </c>
      <c r="M64" s="27" t="str">
        <f t="shared" si="12"/>
        <v/>
      </c>
      <c r="N64" s="27">
        <v>0</v>
      </c>
      <c r="O64" s="27" t="str">
        <f t="shared" si="13"/>
        <v/>
      </c>
      <c r="P64" s="29">
        <v>0.25</v>
      </c>
      <c r="Q64" s="30">
        <f t="shared" si="14"/>
        <v>10.89</v>
      </c>
      <c r="R64" s="30" t="str">
        <f>IF(AND(TRIM(Q64)&lt;&gt;"",TRIM(F64)&lt;&gt;""),(F64*15.9999999775107)/Q64,"")</f>
        <v/>
      </c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27">
        <f t="shared" si="15"/>
        <v>0</v>
      </c>
      <c r="AF64" s="25"/>
      <c r="AH64" s="32" t="s">
        <v>102</v>
      </c>
      <c r="AI64" s="33" t="s">
        <v>50</v>
      </c>
      <c r="AJ64" s="34" t="s">
        <v>51</v>
      </c>
      <c r="AK64" s="33" t="s">
        <v>88</v>
      </c>
      <c r="AL64" s="35" t="s">
        <v>60</v>
      </c>
      <c r="AM64" s="36" t="s">
        <v>89</v>
      </c>
    </row>
    <row r="65" spans="2:39" x14ac:dyDescent="0.2">
      <c r="B65" s="24"/>
      <c r="C65" s="25" t="s">
        <v>182</v>
      </c>
      <c r="D65" s="25" t="s">
        <v>183</v>
      </c>
      <c r="E65" s="25" t="s">
        <v>184</v>
      </c>
      <c r="F65" s="26"/>
      <c r="G65" s="52">
        <v>0</v>
      </c>
      <c r="H65" s="52" t="str">
        <f t="shared" si="8"/>
        <v/>
      </c>
      <c r="I65" s="41"/>
      <c r="J65" s="27" t="str">
        <f t="shared" si="9"/>
        <v/>
      </c>
      <c r="K65" s="28">
        <f t="shared" si="10"/>
        <v>0</v>
      </c>
      <c r="L65" s="27" t="str">
        <f t="shared" si="11"/>
        <v/>
      </c>
      <c r="M65" s="27" t="str">
        <f t="shared" si="12"/>
        <v/>
      </c>
      <c r="N65" s="27">
        <v>0</v>
      </c>
      <c r="O65" s="27" t="str">
        <f t="shared" si="13"/>
        <v/>
      </c>
      <c r="P65" s="29"/>
      <c r="Q65" s="30">
        <f t="shared" si="14"/>
        <v>0</v>
      </c>
      <c r="R65" s="30" t="str">
        <f>IF(AND(TRIM(Q65)&lt;&gt;"",TRIM(F65)&lt;&gt;""),(F65*0)/Q65,"")</f>
        <v/>
      </c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27">
        <f t="shared" si="15"/>
        <v>0</v>
      </c>
      <c r="AF65" s="25"/>
      <c r="AH65" s="67" t="s">
        <v>105</v>
      </c>
      <c r="AI65" s="67"/>
      <c r="AJ65" s="68"/>
      <c r="AK65" s="67"/>
      <c r="AL65" s="69"/>
      <c r="AM65" s="70"/>
    </row>
    <row r="66" spans="2:39" x14ac:dyDescent="0.2">
      <c r="B66" s="24"/>
      <c r="C66" s="25" t="s">
        <v>185</v>
      </c>
      <c r="D66" s="25" t="s">
        <v>186</v>
      </c>
      <c r="E66" s="25" t="s">
        <v>16</v>
      </c>
      <c r="F66" s="26"/>
      <c r="G66" s="52">
        <v>0</v>
      </c>
      <c r="H66" s="52" t="str">
        <f t="shared" si="8"/>
        <v/>
      </c>
      <c r="I66" s="41"/>
      <c r="J66" s="27" t="str">
        <f t="shared" si="9"/>
        <v/>
      </c>
      <c r="K66" s="28">
        <f t="shared" si="10"/>
        <v>0</v>
      </c>
      <c r="L66" s="27" t="str">
        <f t="shared" si="11"/>
        <v/>
      </c>
      <c r="M66" s="27" t="str">
        <f t="shared" si="12"/>
        <v/>
      </c>
      <c r="N66" s="27">
        <v>0</v>
      </c>
      <c r="O66" s="27" t="str">
        <f t="shared" si="13"/>
        <v/>
      </c>
      <c r="P66" s="29">
        <v>5.75</v>
      </c>
      <c r="Q66" s="30">
        <f t="shared" si="14"/>
        <v>250.47000000000003</v>
      </c>
      <c r="R66" s="30" t="str">
        <f>IF(AND(TRIM(Q66)&lt;&gt;"",TRIM(F66)&lt;&gt;""),(F66*319.999849189052)/Q66,"")</f>
        <v/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27">
        <f t="shared" si="15"/>
        <v>0</v>
      </c>
      <c r="AF66" s="25"/>
    </row>
    <row r="67" spans="2:39" x14ac:dyDescent="0.2">
      <c r="B67" s="24"/>
      <c r="C67" s="25" t="s">
        <v>187</v>
      </c>
      <c r="D67" s="25" t="s">
        <v>188</v>
      </c>
      <c r="E67" s="25" t="s">
        <v>189</v>
      </c>
      <c r="F67" s="26"/>
      <c r="G67" s="52">
        <v>0</v>
      </c>
      <c r="H67" s="52" t="str">
        <f t="shared" si="8"/>
        <v/>
      </c>
      <c r="I67" s="41"/>
      <c r="J67" s="27" t="str">
        <f t="shared" si="9"/>
        <v/>
      </c>
      <c r="K67" s="28">
        <f t="shared" si="10"/>
        <v>0</v>
      </c>
      <c r="L67" s="27" t="str">
        <f t="shared" si="11"/>
        <v/>
      </c>
      <c r="M67" s="27" t="str">
        <f t="shared" si="12"/>
        <v/>
      </c>
      <c r="N67" s="27">
        <v>0</v>
      </c>
      <c r="O67" s="27" t="str">
        <f t="shared" si="13"/>
        <v/>
      </c>
      <c r="P67" s="29">
        <v>3</v>
      </c>
      <c r="Q67" s="30">
        <f t="shared" si="14"/>
        <v>130.68</v>
      </c>
      <c r="R67" s="30" t="str">
        <f>IF(AND(TRIM(Q67)&lt;&gt;"",TRIM(F67)&lt;&gt;""),(F67*30)/Q67,"")</f>
        <v/>
      </c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27">
        <f t="shared" si="15"/>
        <v>0</v>
      </c>
      <c r="AF67" s="25"/>
    </row>
    <row r="68" spans="2:39" x14ac:dyDescent="0.2">
      <c r="B68" s="24"/>
      <c r="C68" s="25" t="s">
        <v>191</v>
      </c>
      <c r="D68" s="25" t="s">
        <v>192</v>
      </c>
      <c r="E68" s="25" t="s">
        <v>193</v>
      </c>
      <c r="F68" s="26"/>
      <c r="G68" s="52">
        <v>0</v>
      </c>
      <c r="H68" s="52" t="str">
        <f t="shared" si="8"/>
        <v/>
      </c>
      <c r="I68" s="41"/>
      <c r="J68" s="27" t="str">
        <f t="shared" si="9"/>
        <v/>
      </c>
      <c r="K68" s="28">
        <f t="shared" si="10"/>
        <v>0</v>
      </c>
      <c r="L68" s="27" t="str">
        <f t="shared" si="11"/>
        <v/>
      </c>
      <c r="M68" s="27" t="str">
        <f t="shared" si="12"/>
        <v/>
      </c>
      <c r="N68" s="27">
        <v>0</v>
      </c>
      <c r="O68" s="27" t="str">
        <f t="shared" si="13"/>
        <v/>
      </c>
      <c r="P68" s="29">
        <v>3</v>
      </c>
      <c r="Q68" s="30">
        <f t="shared" si="14"/>
        <v>130.68</v>
      </c>
      <c r="R68" s="30" t="str">
        <f>IF(AND(TRIM(Q68)&lt;&gt;"",TRIM(F68)&lt;&gt;""),(F68*8)/Q68,"")</f>
        <v/>
      </c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27">
        <f t="shared" si="15"/>
        <v>0</v>
      </c>
      <c r="AF68" s="25"/>
      <c r="AH68" s="71" t="s">
        <v>190</v>
      </c>
      <c r="AI68" s="71"/>
      <c r="AJ68" s="72"/>
      <c r="AK68" s="71"/>
      <c r="AL68" s="73"/>
      <c r="AM68" s="74"/>
    </row>
    <row r="69" spans="2:39" x14ac:dyDescent="0.2">
      <c r="B69" s="24"/>
      <c r="C69" s="25" t="s">
        <v>194</v>
      </c>
      <c r="D69" s="25" t="s">
        <v>195</v>
      </c>
      <c r="E69" s="25" t="s">
        <v>189</v>
      </c>
      <c r="F69" s="26"/>
      <c r="G69" s="52">
        <v>0</v>
      </c>
      <c r="H69" s="52" t="str">
        <f t="shared" si="8"/>
        <v/>
      </c>
      <c r="I69" s="41"/>
      <c r="J69" s="27" t="str">
        <f t="shared" si="9"/>
        <v/>
      </c>
      <c r="K69" s="28">
        <f t="shared" si="10"/>
        <v>0</v>
      </c>
      <c r="L69" s="27" t="str">
        <f t="shared" si="11"/>
        <v/>
      </c>
      <c r="M69" s="27" t="str">
        <f t="shared" si="12"/>
        <v/>
      </c>
      <c r="N69" s="27">
        <v>0</v>
      </c>
      <c r="O69" s="27" t="str">
        <f t="shared" si="13"/>
        <v/>
      </c>
      <c r="P69" s="29">
        <v>1.4</v>
      </c>
      <c r="Q69" s="30">
        <f t="shared" si="14"/>
        <v>60.984000000000002</v>
      </c>
      <c r="R69" s="30" t="str">
        <f>IF(AND(TRIM(Q69)&lt;&gt;"",TRIM(F69)&lt;&gt;""),(F69*30)/Q69,"")</f>
        <v/>
      </c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27">
        <f t="shared" si="15"/>
        <v>0</v>
      </c>
      <c r="AF69" s="25"/>
      <c r="AH69" s="71"/>
      <c r="AI69" s="71"/>
      <c r="AJ69" s="72"/>
      <c r="AK69" s="71"/>
      <c r="AL69" s="73"/>
      <c r="AM69" s="74"/>
    </row>
    <row r="70" spans="2:39" x14ac:dyDescent="0.2">
      <c r="B70" s="24"/>
      <c r="C70" s="25" t="s">
        <v>196</v>
      </c>
      <c r="D70" s="25" t="s">
        <v>197</v>
      </c>
      <c r="E70" s="25" t="s">
        <v>134</v>
      </c>
      <c r="F70" s="26"/>
      <c r="G70" s="52">
        <v>0</v>
      </c>
      <c r="H70" s="52" t="str">
        <f t="shared" si="8"/>
        <v/>
      </c>
      <c r="I70" s="41"/>
      <c r="J70" s="27" t="str">
        <f t="shared" si="9"/>
        <v/>
      </c>
      <c r="K70" s="28">
        <f t="shared" si="10"/>
        <v>0</v>
      </c>
      <c r="L70" s="27" t="str">
        <f t="shared" si="11"/>
        <v/>
      </c>
      <c r="M70" s="27" t="str">
        <f t="shared" si="12"/>
        <v/>
      </c>
      <c r="N70" s="27">
        <v>0</v>
      </c>
      <c r="O70" s="27" t="str">
        <f t="shared" si="13"/>
        <v/>
      </c>
      <c r="P70" s="29">
        <v>0.53</v>
      </c>
      <c r="Q70" s="30">
        <f t="shared" si="14"/>
        <v>23.086800000000004</v>
      </c>
      <c r="R70" s="30" t="str">
        <f>IF(AND(TRIM(Q70)&lt;&gt;"",TRIM(F70)&lt;&gt;""),(F70*127.999939675621)/Q70,"")</f>
        <v/>
      </c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27">
        <f t="shared" si="15"/>
        <v>0</v>
      </c>
      <c r="AF70" s="25"/>
      <c r="AH70" s="75"/>
      <c r="AI70" s="75"/>
      <c r="AJ70" s="76"/>
      <c r="AK70" s="75"/>
      <c r="AL70" s="77"/>
      <c r="AM70" s="78"/>
    </row>
    <row r="71" spans="2:39" x14ac:dyDescent="0.2">
      <c r="B71" s="24"/>
      <c r="C71" s="25" t="s">
        <v>198</v>
      </c>
      <c r="D71" s="25" t="s">
        <v>199</v>
      </c>
      <c r="E71" s="25" t="s">
        <v>200</v>
      </c>
      <c r="F71" s="26"/>
      <c r="G71" s="52">
        <v>0</v>
      </c>
      <c r="H71" s="52" t="str">
        <f t="shared" si="8"/>
        <v/>
      </c>
      <c r="I71" s="41"/>
      <c r="J71" s="27" t="str">
        <f t="shared" si="9"/>
        <v/>
      </c>
      <c r="K71" s="28">
        <f t="shared" si="10"/>
        <v>0</v>
      </c>
      <c r="L71" s="27" t="str">
        <f t="shared" si="11"/>
        <v/>
      </c>
      <c r="M71" s="27" t="str">
        <f t="shared" si="12"/>
        <v/>
      </c>
      <c r="N71" s="27">
        <v>0</v>
      </c>
      <c r="O71" s="27" t="str">
        <f t="shared" si="13"/>
        <v/>
      </c>
      <c r="P71" s="29">
        <v>0.17199999999999999</v>
      </c>
      <c r="Q71" s="30">
        <f t="shared" si="14"/>
        <v>7.4923199999999994</v>
      </c>
      <c r="R71" s="30" t="str">
        <f>IF(AND(TRIM(Q71)&lt;&gt;"",TRIM(F71)&lt;&gt;""),(F71*6.4)/Q71,"")</f>
        <v/>
      </c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27">
        <f t="shared" si="15"/>
        <v>0</v>
      </c>
      <c r="AF71" s="25"/>
      <c r="AH71" s="75"/>
      <c r="AI71" s="75"/>
      <c r="AJ71" s="76"/>
      <c r="AK71" s="75"/>
      <c r="AL71" s="77"/>
      <c r="AM71" s="78"/>
    </row>
    <row r="72" spans="2:39" x14ac:dyDescent="0.2">
      <c r="B72" s="24"/>
      <c r="C72" s="25" t="s">
        <v>201</v>
      </c>
      <c r="D72" s="25" t="s">
        <v>202</v>
      </c>
      <c r="E72" s="25" t="s">
        <v>16</v>
      </c>
      <c r="F72" s="26"/>
      <c r="G72" s="52">
        <v>0</v>
      </c>
      <c r="H72" s="52" t="str">
        <f t="shared" si="8"/>
        <v/>
      </c>
      <c r="I72" s="41"/>
      <c r="J72" s="27" t="str">
        <f t="shared" si="9"/>
        <v/>
      </c>
      <c r="K72" s="28">
        <f t="shared" si="10"/>
        <v>0</v>
      </c>
      <c r="L72" s="27" t="str">
        <f t="shared" si="11"/>
        <v/>
      </c>
      <c r="M72" s="27" t="str">
        <f t="shared" si="12"/>
        <v/>
      </c>
      <c r="N72" s="27">
        <v>0</v>
      </c>
      <c r="O72" s="27" t="str">
        <f t="shared" si="13"/>
        <v/>
      </c>
      <c r="P72" s="29">
        <v>1.5</v>
      </c>
      <c r="Q72" s="30">
        <f t="shared" si="14"/>
        <v>65.34</v>
      </c>
      <c r="R72" s="30" t="str">
        <f>IF(AND(TRIM(Q72)&lt;&gt;"",TRIM(F72)&lt;&gt;""),(F72*319.999849189052)/Q72,"")</f>
        <v/>
      </c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27">
        <f t="shared" si="15"/>
        <v>0</v>
      </c>
      <c r="AF72" s="25"/>
      <c r="AH72" s="63"/>
      <c r="AI72" s="63"/>
      <c r="AJ72" s="64"/>
      <c r="AK72" s="63"/>
      <c r="AL72" s="65"/>
      <c r="AM72" s="66"/>
    </row>
    <row r="73" spans="2:39" ht="27" x14ac:dyDescent="0.2">
      <c r="B73" s="24"/>
      <c r="C73" s="25" t="s">
        <v>203</v>
      </c>
      <c r="D73" s="25" t="s">
        <v>204</v>
      </c>
      <c r="E73" s="25" t="s">
        <v>205</v>
      </c>
      <c r="F73" s="26"/>
      <c r="G73" s="52">
        <v>0</v>
      </c>
      <c r="H73" s="52" t="str">
        <f t="shared" si="8"/>
        <v/>
      </c>
      <c r="I73" s="41"/>
      <c r="J73" s="27" t="str">
        <f t="shared" si="9"/>
        <v/>
      </c>
      <c r="K73" s="28">
        <f t="shared" si="10"/>
        <v>0</v>
      </c>
      <c r="L73" s="27" t="str">
        <f t="shared" si="11"/>
        <v/>
      </c>
      <c r="M73" s="27" t="str">
        <f t="shared" si="12"/>
        <v/>
      </c>
      <c r="N73" s="27">
        <v>0</v>
      </c>
      <c r="O73" s="27" t="str">
        <f t="shared" si="13"/>
        <v/>
      </c>
      <c r="P73" s="29">
        <v>2.2000000000000002</v>
      </c>
      <c r="Q73" s="30">
        <f t="shared" si="14"/>
        <v>95.832000000000008</v>
      </c>
      <c r="R73" s="30" t="str">
        <f>IF(AND(TRIM(Q73)&lt;&gt;"",TRIM(F73)&lt;&gt;""),(F73*47.9999999325321)/Q73,"")</f>
        <v/>
      </c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27">
        <f t="shared" si="15"/>
        <v>0</v>
      </c>
      <c r="AF73" s="25"/>
      <c r="AH73" s="32" t="s">
        <v>87</v>
      </c>
      <c r="AI73" s="33" t="s">
        <v>50</v>
      </c>
      <c r="AJ73" s="34" t="s">
        <v>51</v>
      </c>
      <c r="AK73" s="33" t="s">
        <v>88</v>
      </c>
      <c r="AL73" s="35" t="s">
        <v>60</v>
      </c>
      <c r="AM73" s="36" t="s">
        <v>89</v>
      </c>
    </row>
    <row r="74" spans="2:39" x14ac:dyDescent="0.2">
      <c r="B74" s="24"/>
      <c r="C74" s="25" t="s">
        <v>206</v>
      </c>
      <c r="D74" s="25" t="s">
        <v>207</v>
      </c>
      <c r="E74" s="25" t="s">
        <v>16</v>
      </c>
      <c r="F74" s="26"/>
      <c r="G74" s="52">
        <v>0</v>
      </c>
      <c r="H74" s="52" t="str">
        <f t="shared" si="8"/>
        <v/>
      </c>
      <c r="I74" s="41"/>
      <c r="J74" s="27" t="str">
        <f t="shared" si="9"/>
        <v/>
      </c>
      <c r="K74" s="28">
        <f t="shared" si="10"/>
        <v>0</v>
      </c>
      <c r="L74" s="27" t="str">
        <f t="shared" si="11"/>
        <v/>
      </c>
      <c r="M74" s="27" t="str">
        <f t="shared" si="12"/>
        <v/>
      </c>
      <c r="N74" s="27">
        <v>0</v>
      </c>
      <c r="O74" s="27" t="str">
        <f t="shared" si="13"/>
        <v/>
      </c>
      <c r="P74" s="29">
        <v>5</v>
      </c>
      <c r="Q74" s="30">
        <f t="shared" si="14"/>
        <v>217.8</v>
      </c>
      <c r="R74" s="30" t="str">
        <f>IF(AND(TRIM(Q74)&lt;&gt;"",TRIM(F74)&lt;&gt;""),(F74*319.999849189052)/Q74,"")</f>
        <v/>
      </c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27">
        <f t="shared" si="15"/>
        <v>0</v>
      </c>
      <c r="AF74" s="25"/>
      <c r="AH74" s="37" t="s">
        <v>170</v>
      </c>
      <c r="AI74" s="38" t="s">
        <v>16</v>
      </c>
      <c r="AJ74" s="39">
        <v>4</v>
      </c>
      <c r="AK74" s="24" t="s">
        <v>171</v>
      </c>
      <c r="AL74" s="40">
        <v>2</v>
      </c>
      <c r="AM74" s="30">
        <v>14.692371404456001</v>
      </c>
    </row>
    <row r="75" spans="2:39" x14ac:dyDescent="0.2">
      <c r="B75" s="24"/>
      <c r="C75" s="25" t="s">
        <v>209</v>
      </c>
      <c r="D75" s="25" t="s">
        <v>121</v>
      </c>
      <c r="E75" s="25" t="s">
        <v>210</v>
      </c>
      <c r="F75" s="26"/>
      <c r="G75" s="52">
        <v>0</v>
      </c>
      <c r="H75" s="52" t="str">
        <f t="shared" si="8"/>
        <v/>
      </c>
      <c r="I75" s="41"/>
      <c r="J75" s="27" t="str">
        <f t="shared" si="9"/>
        <v/>
      </c>
      <c r="K75" s="28">
        <f t="shared" si="10"/>
        <v>0</v>
      </c>
      <c r="L75" s="27" t="str">
        <f t="shared" si="11"/>
        <v/>
      </c>
      <c r="M75" s="27" t="str">
        <f t="shared" si="12"/>
        <v/>
      </c>
      <c r="N75" s="27">
        <v>0</v>
      </c>
      <c r="O75" s="27" t="str">
        <f t="shared" si="13"/>
        <v/>
      </c>
      <c r="P75" s="29">
        <v>0.4</v>
      </c>
      <c r="Q75" s="30">
        <f t="shared" si="14"/>
        <v>17.424000000000003</v>
      </c>
      <c r="R75" s="30" t="str">
        <f>IF(AND(TRIM(Q75)&lt;&gt;"",TRIM(F75)&lt;&gt;""),(F75*32)/Q75,"")</f>
        <v/>
      </c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27">
        <f t="shared" si="15"/>
        <v>0</v>
      </c>
      <c r="AF75" s="25"/>
      <c r="AH75" s="37" t="s">
        <v>208</v>
      </c>
      <c r="AI75" s="38" t="s">
        <v>27</v>
      </c>
      <c r="AJ75" s="39">
        <v>24</v>
      </c>
      <c r="AK75" s="24" t="s">
        <v>175</v>
      </c>
      <c r="AL75" s="40">
        <v>4</v>
      </c>
      <c r="AM75" s="30">
        <v>12.1212121041748</v>
      </c>
    </row>
    <row r="76" spans="2:39" ht="27" x14ac:dyDescent="0.2">
      <c r="B76" s="24"/>
      <c r="C76" s="25" t="s">
        <v>211</v>
      </c>
      <c r="D76" s="25" t="s">
        <v>212</v>
      </c>
      <c r="E76" s="25" t="s">
        <v>16</v>
      </c>
      <c r="F76" s="26"/>
      <c r="G76" s="52">
        <v>0</v>
      </c>
      <c r="H76" s="52" t="str">
        <f t="shared" si="8"/>
        <v/>
      </c>
      <c r="I76" s="41"/>
      <c r="J76" s="27" t="str">
        <f t="shared" si="9"/>
        <v/>
      </c>
      <c r="K76" s="28">
        <f t="shared" si="10"/>
        <v>0</v>
      </c>
      <c r="L76" s="27" t="str">
        <f t="shared" si="11"/>
        <v/>
      </c>
      <c r="M76" s="27" t="str">
        <f t="shared" si="12"/>
        <v/>
      </c>
      <c r="N76" s="27">
        <v>0</v>
      </c>
      <c r="O76" s="27" t="str">
        <f t="shared" si="13"/>
        <v/>
      </c>
      <c r="P76" s="29">
        <v>6</v>
      </c>
      <c r="Q76" s="30">
        <f t="shared" si="14"/>
        <v>261.36</v>
      </c>
      <c r="R76" s="30" t="str">
        <f>IF(AND(TRIM(Q76)&lt;&gt;"",TRIM(F76)&lt;&gt;""),(F76*319.999849189052)/Q76,"")</f>
        <v/>
      </c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27">
        <f t="shared" si="15"/>
        <v>0</v>
      </c>
      <c r="AF76" s="25"/>
      <c r="AH76" s="32" t="s">
        <v>102</v>
      </c>
      <c r="AI76" s="33" t="s">
        <v>50</v>
      </c>
      <c r="AJ76" s="34" t="s">
        <v>51</v>
      </c>
      <c r="AK76" s="33" t="s">
        <v>88</v>
      </c>
      <c r="AL76" s="35" t="s">
        <v>60</v>
      </c>
      <c r="AM76" s="36" t="s">
        <v>89</v>
      </c>
    </row>
    <row r="77" spans="2:39" x14ac:dyDescent="0.2">
      <c r="B77" s="24"/>
      <c r="C77" s="25" t="s">
        <v>216</v>
      </c>
      <c r="D77" s="25" t="s">
        <v>217</v>
      </c>
      <c r="E77" s="25" t="s">
        <v>218</v>
      </c>
      <c r="F77" s="26"/>
      <c r="G77" s="52">
        <v>0</v>
      </c>
      <c r="H77" s="52" t="str">
        <f t="shared" si="8"/>
        <v/>
      </c>
      <c r="I77" s="41"/>
      <c r="J77" s="27" t="str">
        <f t="shared" si="9"/>
        <v/>
      </c>
      <c r="K77" s="28">
        <f t="shared" si="10"/>
        <v>0</v>
      </c>
      <c r="L77" s="27" t="str">
        <f t="shared" si="11"/>
        <v/>
      </c>
      <c r="M77" s="27" t="str">
        <f t="shared" si="12"/>
        <v/>
      </c>
      <c r="N77" s="27">
        <v>0</v>
      </c>
      <c r="O77" s="27" t="str">
        <f t="shared" si="13"/>
        <v/>
      </c>
      <c r="P77" s="29">
        <v>16</v>
      </c>
      <c r="Q77" s="30">
        <f t="shared" si="14"/>
        <v>696.96</v>
      </c>
      <c r="R77" s="30" t="str">
        <f>IF(AND(TRIM(Q77)&lt;&gt;"",TRIM(F77)&lt;&gt;""),(F77*144)/Q77,"")</f>
        <v/>
      </c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27">
        <f t="shared" si="15"/>
        <v>0</v>
      </c>
      <c r="AF77" s="25"/>
      <c r="AH77" s="67" t="s">
        <v>105</v>
      </c>
      <c r="AI77" s="67"/>
      <c r="AJ77" s="68"/>
      <c r="AK77" s="67"/>
      <c r="AL77" s="69"/>
      <c r="AM77" s="70"/>
    </row>
    <row r="78" spans="2:39" x14ac:dyDescent="0.2">
      <c r="B78" s="24"/>
      <c r="C78" s="25" t="s">
        <v>219</v>
      </c>
      <c r="D78" s="25" t="s">
        <v>220</v>
      </c>
      <c r="E78" s="25" t="s">
        <v>221</v>
      </c>
      <c r="F78" s="26"/>
      <c r="G78" s="52">
        <v>0</v>
      </c>
      <c r="H78" s="52" t="str">
        <f t="shared" si="8"/>
        <v/>
      </c>
      <c r="I78" s="41"/>
      <c r="J78" s="27" t="str">
        <f t="shared" si="9"/>
        <v/>
      </c>
      <c r="K78" s="28">
        <f t="shared" si="10"/>
        <v>0</v>
      </c>
      <c r="L78" s="27" t="str">
        <f t="shared" si="11"/>
        <v/>
      </c>
      <c r="M78" s="27" t="str">
        <f t="shared" si="12"/>
        <v/>
      </c>
      <c r="N78" s="27">
        <v>0</v>
      </c>
      <c r="O78" s="27" t="str">
        <f t="shared" si="13"/>
        <v/>
      </c>
      <c r="P78" s="29">
        <v>0.27500000000000002</v>
      </c>
      <c r="Q78" s="30">
        <f t="shared" si="14"/>
        <v>11.979000000000001</v>
      </c>
      <c r="R78" s="30" t="str">
        <f>IF(AND(TRIM(Q78)&lt;&gt;"",TRIM(F78)&lt;&gt;""),(F78*8.115365448432)/Q78,"")</f>
        <v/>
      </c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27">
        <f t="shared" si="15"/>
        <v>0</v>
      </c>
      <c r="AF78" s="25"/>
    </row>
    <row r="79" spans="2:39" x14ac:dyDescent="0.2">
      <c r="B79" s="24"/>
      <c r="C79" s="25" t="s">
        <v>223</v>
      </c>
      <c r="D79" s="25" t="s">
        <v>220</v>
      </c>
      <c r="E79" s="25" t="s">
        <v>224</v>
      </c>
      <c r="F79" s="26"/>
      <c r="G79" s="52">
        <v>0</v>
      </c>
      <c r="H79" s="52" t="str">
        <f t="shared" si="8"/>
        <v/>
      </c>
      <c r="I79" s="41"/>
      <c r="J79" s="27" t="str">
        <f t="shared" si="9"/>
        <v/>
      </c>
      <c r="K79" s="28">
        <f t="shared" si="10"/>
        <v>0</v>
      </c>
      <c r="L79" s="27" t="str">
        <f t="shared" si="11"/>
        <v/>
      </c>
      <c r="M79" s="27" t="str">
        <f t="shared" si="12"/>
        <v/>
      </c>
      <c r="N79" s="27">
        <v>0</v>
      </c>
      <c r="O79" s="27" t="str">
        <f t="shared" si="13"/>
        <v/>
      </c>
      <c r="P79" s="29">
        <v>0.27500000000000002</v>
      </c>
      <c r="Q79" s="30">
        <f t="shared" si="14"/>
        <v>11.979000000000001</v>
      </c>
      <c r="R79" s="30" t="str">
        <f>IF(AND(TRIM(Q79)&lt;&gt;"",TRIM(F79)&lt;&gt;""),(F79*30.43262043162)/Q79,"")</f>
        <v/>
      </c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27">
        <f t="shared" si="15"/>
        <v>0</v>
      </c>
      <c r="AF79" s="25"/>
    </row>
    <row r="80" spans="2:39" x14ac:dyDescent="0.2">
      <c r="B80" s="24"/>
      <c r="C80" s="25" t="s">
        <v>225</v>
      </c>
      <c r="D80" s="25" t="s">
        <v>226</v>
      </c>
      <c r="E80" s="25" t="s">
        <v>227</v>
      </c>
      <c r="F80" s="26"/>
      <c r="G80" s="52">
        <v>0</v>
      </c>
      <c r="H80" s="52" t="str">
        <f t="shared" si="8"/>
        <v/>
      </c>
      <c r="I80" s="41"/>
      <c r="J80" s="27" t="str">
        <f t="shared" si="9"/>
        <v/>
      </c>
      <c r="K80" s="28">
        <f t="shared" si="10"/>
        <v>0</v>
      </c>
      <c r="L80" s="27" t="str">
        <f t="shared" si="11"/>
        <v/>
      </c>
      <c r="M80" s="27" t="str">
        <f t="shared" si="12"/>
        <v/>
      </c>
      <c r="N80" s="27">
        <v>0</v>
      </c>
      <c r="O80" s="27" t="str">
        <f t="shared" si="13"/>
        <v/>
      </c>
      <c r="P80" s="29">
        <v>0.35399999999999998</v>
      </c>
      <c r="Q80" s="30">
        <f t="shared" si="14"/>
        <v>15.42024</v>
      </c>
      <c r="R80" s="30" t="str">
        <f>IF(AND(TRIM(Q80)&lt;&gt;"",TRIM(F80)&lt;&gt;""),(F80*14.815063998)/Q80,"")</f>
        <v/>
      </c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27">
        <f t="shared" si="15"/>
        <v>0</v>
      </c>
      <c r="AF80" s="25"/>
      <c r="AH80" s="71" t="s">
        <v>222</v>
      </c>
      <c r="AI80" s="71"/>
      <c r="AJ80" s="72"/>
      <c r="AK80" s="71"/>
      <c r="AL80" s="73"/>
      <c r="AM80" s="74"/>
    </row>
    <row r="81" spans="2:39" x14ac:dyDescent="0.2">
      <c r="B81" s="24"/>
      <c r="C81" s="25" t="s">
        <v>228</v>
      </c>
      <c r="D81" s="25" t="s">
        <v>229</v>
      </c>
      <c r="E81" s="25" t="s">
        <v>230</v>
      </c>
      <c r="F81" s="26"/>
      <c r="G81" s="52">
        <v>0</v>
      </c>
      <c r="H81" s="52" t="str">
        <f t="shared" si="8"/>
        <v/>
      </c>
      <c r="I81" s="41"/>
      <c r="J81" s="27" t="str">
        <f t="shared" si="9"/>
        <v/>
      </c>
      <c r="K81" s="28">
        <f t="shared" si="10"/>
        <v>0</v>
      </c>
      <c r="L81" s="27" t="str">
        <f t="shared" si="11"/>
        <v/>
      </c>
      <c r="M81" s="27" t="str">
        <f t="shared" si="12"/>
        <v/>
      </c>
      <c r="N81" s="27">
        <v>0</v>
      </c>
      <c r="O81" s="27" t="str">
        <f t="shared" si="13"/>
        <v/>
      </c>
      <c r="P81" s="29">
        <v>0.35199999999999998</v>
      </c>
      <c r="Q81" s="30">
        <f t="shared" si="14"/>
        <v>15.333119999999999</v>
      </c>
      <c r="R81" s="30" t="str">
        <f>IF(AND(TRIM(Q81)&lt;&gt;"",TRIM(F81)&lt;&gt;""),(F81*14.10958476)/Q81,"")</f>
        <v/>
      </c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27">
        <f t="shared" si="15"/>
        <v>0</v>
      </c>
      <c r="AF81" s="25"/>
      <c r="AH81" s="71"/>
      <c r="AI81" s="71"/>
      <c r="AJ81" s="72"/>
      <c r="AK81" s="71"/>
      <c r="AL81" s="73"/>
      <c r="AM81" s="74"/>
    </row>
    <row r="82" spans="2:39" x14ac:dyDescent="0.2">
      <c r="B82" s="42"/>
      <c r="C82" s="42"/>
      <c r="D82" s="42"/>
      <c r="E82" s="42"/>
      <c r="F82" s="43">
        <f>SUM(F19:F52,F55:F81)</f>
        <v>0</v>
      </c>
      <c r="G82" s="44"/>
      <c r="H82" s="44">
        <f>SUM(H19:H52,H55:H81)</f>
        <v>0</v>
      </c>
      <c r="I82" s="44"/>
      <c r="J82" s="44">
        <f>SUM(J19:J52,J55:J81)</f>
        <v>0</v>
      </c>
      <c r="K82" s="45"/>
      <c r="L82" s="44">
        <f>SUM(L19:L52,L55:L81)</f>
        <v>0</v>
      </c>
      <c r="M82" s="44"/>
      <c r="N82" s="44"/>
      <c r="O82" s="44">
        <f>SUM(O19:O52,O55:O81)</f>
        <v>0</v>
      </c>
      <c r="P82" s="46"/>
      <c r="Q82" s="47"/>
      <c r="R82" s="47">
        <v>0</v>
      </c>
      <c r="S82" s="46"/>
      <c r="T82" s="46"/>
      <c r="U82" s="46"/>
      <c r="V82" s="46"/>
      <c r="W82" s="46"/>
      <c r="X82" s="46"/>
      <c r="Y82" s="46"/>
      <c r="Z82" s="46" t="str">
        <f>IF(VLOOKUP(7, Rebates!$B$4:$D$14, 3, FALSE) = 0, "", IF(AE82="",0,IF(ISNA(VLOOKUP(AE82,Rebates!$M$4:$P$9,3,1)),"", VLOOKUP(AE82,Rebates!$M$4:$P$9,3,1))))</f>
        <v/>
      </c>
      <c r="AA82" s="46"/>
      <c r="AB82" s="46"/>
      <c r="AC82" s="46"/>
      <c r="AD82" s="46"/>
      <c r="AE82" s="44">
        <f>SUM(AE19:AE52,AE55:AE81)</f>
        <v>0</v>
      </c>
      <c r="AF82" s="42"/>
      <c r="AH82" s="75"/>
      <c r="AI82" s="75"/>
      <c r="AJ82" s="76"/>
      <c r="AK82" s="75"/>
      <c r="AL82" s="77"/>
      <c r="AM82" s="78"/>
    </row>
    <row r="83" spans="2:39" x14ac:dyDescent="0.2">
      <c r="AH83" s="75"/>
      <c r="AI83" s="75"/>
      <c r="AJ83" s="76"/>
      <c r="AK83" s="75"/>
      <c r="AL83" s="77"/>
      <c r="AM83" s="78"/>
    </row>
    <row r="84" spans="2:39" x14ac:dyDescent="0.2">
      <c r="B84" s="79" t="s">
        <v>231</v>
      </c>
      <c r="C84" s="79"/>
      <c r="D84" s="79"/>
      <c r="E84" s="79"/>
      <c r="AH84" s="63"/>
      <c r="AI84" s="63"/>
      <c r="AJ84" s="64"/>
      <c r="AK84" s="63"/>
      <c r="AL84" s="65"/>
      <c r="AM84" s="66"/>
    </row>
    <row r="85" spans="2:39" ht="27" x14ac:dyDescent="0.2">
      <c r="B85" s="79"/>
      <c r="C85" s="79"/>
      <c r="D85" s="79"/>
      <c r="E85" s="79"/>
      <c r="AH85" s="32" t="s">
        <v>87</v>
      </c>
      <c r="AI85" s="33" t="s">
        <v>50</v>
      </c>
      <c r="AJ85" s="34" t="s">
        <v>51</v>
      </c>
      <c r="AK85" s="33" t="s">
        <v>88</v>
      </c>
      <c r="AL85" s="35" t="s">
        <v>60</v>
      </c>
      <c r="AM85" s="36" t="s">
        <v>89</v>
      </c>
    </row>
    <row r="86" spans="2:39" x14ac:dyDescent="0.2">
      <c r="B86" s="80" t="s">
        <v>236</v>
      </c>
      <c r="C86" s="80"/>
      <c r="D86" s="80"/>
      <c r="E86" s="80"/>
      <c r="AH86" s="37" t="s">
        <v>232</v>
      </c>
      <c r="AI86" s="38" t="s">
        <v>16</v>
      </c>
      <c r="AJ86" s="39">
        <v>6</v>
      </c>
      <c r="AK86" s="24" t="s">
        <v>233</v>
      </c>
      <c r="AL86" s="40">
        <v>4</v>
      </c>
      <c r="AM86" s="30">
        <v>11.019278553342</v>
      </c>
    </row>
    <row r="87" spans="2:39" x14ac:dyDescent="0.2">
      <c r="B87" s="80"/>
      <c r="C87" s="80"/>
      <c r="D87" s="80"/>
      <c r="E87" s="80"/>
      <c r="AH87" s="37" t="s">
        <v>234</v>
      </c>
      <c r="AI87" s="38" t="s">
        <v>16</v>
      </c>
      <c r="AJ87" s="39">
        <v>2</v>
      </c>
      <c r="AK87" s="24" t="s">
        <v>235</v>
      </c>
      <c r="AL87" s="40">
        <v>1</v>
      </c>
      <c r="AM87" s="30">
        <v>14.692371404456001</v>
      </c>
    </row>
    <row r="88" spans="2:39" ht="27" x14ac:dyDescent="0.2">
      <c r="B88" s="80"/>
      <c r="C88" s="80"/>
      <c r="D88" s="80"/>
      <c r="E88" s="80"/>
      <c r="AH88" s="32" t="s">
        <v>102</v>
      </c>
      <c r="AI88" s="33" t="s">
        <v>50</v>
      </c>
      <c r="AJ88" s="34" t="s">
        <v>51</v>
      </c>
      <c r="AK88" s="33" t="s">
        <v>88</v>
      </c>
      <c r="AL88" s="35" t="s">
        <v>60</v>
      </c>
      <c r="AM88" s="36" t="s">
        <v>89</v>
      </c>
    </row>
    <row r="89" spans="2:39" x14ac:dyDescent="0.2">
      <c r="B89" s="59" t="s">
        <v>237</v>
      </c>
      <c r="C89" s="60"/>
      <c r="D89" s="60"/>
      <c r="E89" s="48">
        <f>H82</f>
        <v>0</v>
      </c>
      <c r="AH89" s="67" t="s">
        <v>105</v>
      </c>
      <c r="AI89" s="67"/>
      <c r="AJ89" s="68"/>
      <c r="AK89" s="67"/>
      <c r="AL89" s="69"/>
      <c r="AM89" s="67"/>
    </row>
    <row r="90" spans="2:39" x14ac:dyDescent="0.2">
      <c r="B90" s="57" t="s">
        <v>238</v>
      </c>
      <c r="C90" s="58"/>
      <c r="D90" s="58"/>
      <c r="E90" s="49">
        <f>SUM(H82-J82)</f>
        <v>0</v>
      </c>
    </row>
    <row r="91" spans="2:39" x14ac:dyDescent="0.2">
      <c r="B91" s="59" t="s">
        <v>239</v>
      </c>
      <c r="C91" s="60"/>
      <c r="D91" s="60"/>
      <c r="E91" s="48">
        <f>J82</f>
        <v>0</v>
      </c>
    </row>
    <row r="92" spans="2:39" x14ac:dyDescent="0.2">
      <c r="B92" s="57" t="s">
        <v>240</v>
      </c>
      <c r="C92" s="58"/>
      <c r="D92" s="58"/>
      <c r="E92" s="49">
        <f>L82</f>
        <v>0</v>
      </c>
    </row>
    <row r="93" spans="2:39" x14ac:dyDescent="0.2">
      <c r="B93" s="59" t="s">
        <v>241</v>
      </c>
      <c r="C93" s="60"/>
      <c r="D93" s="60"/>
      <c r="E93" s="48">
        <f>O82</f>
        <v>0</v>
      </c>
    </row>
    <row r="94" spans="2:39" x14ac:dyDescent="0.2">
      <c r="B94" s="57" t="s">
        <v>242</v>
      </c>
      <c r="C94" s="58"/>
      <c r="D94" s="58"/>
      <c r="E94" s="50">
        <f>IF(AND(J82 &lt;&gt;"", J82 &gt; 0), SUM(L82/J82),0)</f>
        <v>0</v>
      </c>
    </row>
    <row r="95" spans="2:39" x14ac:dyDescent="0.2">
      <c r="B95" s="59" t="s">
        <v>243</v>
      </c>
      <c r="C95" s="60"/>
      <c r="D95" s="60"/>
      <c r="E95" s="51">
        <f>IF(AND(E89 &lt;&gt; "", E89 &gt; 0), ((E89 - E91) + E92)/E89,0)</f>
        <v>0</v>
      </c>
    </row>
    <row r="96" spans="2:39" x14ac:dyDescent="0.2">
      <c r="B96" s="61" t="str">
        <f>CONCATENATE("Estimated MBR points to be earned in the Product Cart: ",TEXT(IF(AND(E92 &lt;&gt;"", E92 &gt; 0),E92*100, 0),"#,##0"))</f>
        <v>Estimated MBR points to be earned in the Product Cart: 0</v>
      </c>
      <c r="C96" s="61"/>
      <c r="D96" s="61"/>
      <c r="E96" s="61"/>
    </row>
    <row r="97" spans="2:5" x14ac:dyDescent="0.2">
      <c r="B97" s="62" t="s">
        <v>244</v>
      </c>
      <c r="C97" s="62"/>
      <c r="D97" s="62"/>
      <c r="E97" s="62"/>
    </row>
    <row r="98" spans="2:5" x14ac:dyDescent="0.2">
      <c r="B98" s="62"/>
      <c r="C98" s="62"/>
      <c r="D98" s="62"/>
      <c r="E98" s="62"/>
    </row>
    <row r="99" spans="2:5" x14ac:dyDescent="0.2">
      <c r="B99" s="62"/>
      <c r="C99" s="62"/>
      <c r="D99" s="62"/>
      <c r="E99" s="62"/>
    </row>
    <row r="100" spans="2:5" x14ac:dyDescent="0.2">
      <c r="B100" s="62"/>
      <c r="C100" s="62"/>
      <c r="D100" s="62"/>
      <c r="E100" s="62"/>
    </row>
    <row r="101" spans="2:5" x14ac:dyDescent="0.2">
      <c r="B101" s="62"/>
      <c r="C101" s="62"/>
      <c r="D101" s="62"/>
      <c r="E101" s="62"/>
    </row>
  </sheetData>
  <sheetProtection algorithmName="SHA-512" hashValue="N0l2+fjuS9FdJw4prsO2O2Iu6h1LU0aVofHrASvIYF+/cmaz2PkhuEqvKnJhb0qzDnUWRdiq+KZyRU38kQiEfQ==" saltValue="AgHF3+L+d3/Ve/PcDLM5Nw==" spinCount="100000" sheet="1" objects="1" scenarios="1"/>
  <mergeCells count="110">
    <mergeCell ref="B1:AE1"/>
    <mergeCell ref="B3:E4"/>
    <mergeCell ref="B5:E6"/>
    <mergeCell ref="B7:E7"/>
    <mergeCell ref="B8:E8"/>
    <mergeCell ref="B9:E9"/>
    <mergeCell ref="B10:E10"/>
    <mergeCell ref="B11:E11"/>
    <mergeCell ref="B14:E15"/>
    <mergeCell ref="AH14:AM15"/>
    <mergeCell ref="AH16:AM18"/>
    <mergeCell ref="B17:R17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X18:X20"/>
    <mergeCell ref="Y18:Y20"/>
    <mergeCell ref="Z18:Z20"/>
    <mergeCell ref="AA18:AA20"/>
    <mergeCell ref="AB18:AB20"/>
    <mergeCell ref="AC18:AC20"/>
    <mergeCell ref="AD18:AD20"/>
    <mergeCell ref="AE18:AE20"/>
    <mergeCell ref="AF18:AF20"/>
    <mergeCell ref="AH20:AM21"/>
    <mergeCell ref="AH22:AM23"/>
    <mergeCell ref="AH24:AM24"/>
    <mergeCell ref="AH29:AM29"/>
    <mergeCell ref="AH32:AM33"/>
    <mergeCell ref="AH34:AM35"/>
    <mergeCell ref="AH36:AM36"/>
    <mergeCell ref="AH41:AM41"/>
    <mergeCell ref="AH44:AM45"/>
    <mergeCell ref="AH46:AM47"/>
    <mergeCell ref="AH48:AM48"/>
    <mergeCell ref="B53:R53"/>
    <mergeCell ref="AH53:AM53"/>
    <mergeCell ref="B54:B56"/>
    <mergeCell ref="C54:C56"/>
    <mergeCell ref="D54:D56"/>
    <mergeCell ref="E54:E56"/>
    <mergeCell ref="F54:F56"/>
    <mergeCell ref="G54:G56"/>
    <mergeCell ref="H54:H56"/>
    <mergeCell ref="I54:I56"/>
    <mergeCell ref="J54:J56"/>
    <mergeCell ref="K54:K56"/>
    <mergeCell ref="L54:L56"/>
    <mergeCell ref="M54:M56"/>
    <mergeCell ref="N54:N56"/>
    <mergeCell ref="O54:O56"/>
    <mergeCell ref="P54:P56"/>
    <mergeCell ref="Q54:Q56"/>
    <mergeCell ref="R54:R56"/>
    <mergeCell ref="S54:S56"/>
    <mergeCell ref="T54:T56"/>
    <mergeCell ref="U54:U56"/>
    <mergeCell ref="V54:V56"/>
    <mergeCell ref="W54:W56"/>
    <mergeCell ref="X54:X56"/>
    <mergeCell ref="Y54:Y56"/>
    <mergeCell ref="Z54:Z56"/>
    <mergeCell ref="AA54:AA56"/>
    <mergeCell ref="AB54:AB56"/>
    <mergeCell ref="AC54:AC56"/>
    <mergeCell ref="AD54:AD56"/>
    <mergeCell ref="AE54:AE56"/>
    <mergeCell ref="AF54:AF56"/>
    <mergeCell ref="AH56:AM57"/>
    <mergeCell ref="AH58:AM59"/>
    <mergeCell ref="AH60:AM60"/>
    <mergeCell ref="AH65:AM65"/>
    <mergeCell ref="AH68:AM69"/>
    <mergeCell ref="AH70:AM71"/>
    <mergeCell ref="B90:D90"/>
    <mergeCell ref="B91:D91"/>
    <mergeCell ref="B92:D92"/>
    <mergeCell ref="B93:D93"/>
    <mergeCell ref="B94:D94"/>
    <mergeCell ref="B95:D95"/>
    <mergeCell ref="B96:E96"/>
    <mergeCell ref="B97:E101"/>
    <mergeCell ref="AH72:AM72"/>
    <mergeCell ref="AH77:AM77"/>
    <mergeCell ref="AH80:AM81"/>
    <mergeCell ref="AH82:AM83"/>
    <mergeCell ref="B84:E85"/>
    <mergeCell ref="AH84:AM84"/>
    <mergeCell ref="B86:E88"/>
    <mergeCell ref="B89:D89"/>
    <mergeCell ref="AH89:AM89"/>
  </mergeCells>
  <conditionalFormatting sqref="B19:B52">
    <cfRule type="iconSet" priority="1">
      <iconSet iconSet="3Flags" showValue="0">
        <cfvo type="num" val="-1"/>
        <cfvo type="num" val="0"/>
        <cfvo type="num" val="1"/>
      </iconSet>
    </cfRule>
  </conditionalFormatting>
  <conditionalFormatting sqref="B55:B81">
    <cfRule type="iconSet" priority="2">
      <iconSet iconSet="3Flags" showValue="0">
        <cfvo type="num" val="-1"/>
        <cfvo type="num" val="0"/>
        <cfvo type="num" val="1"/>
      </iconSet>
    </cfRule>
  </conditionalFormatting>
  <dataValidations count="53">
    <dataValidation type="whole" allowBlank="1" showInputMessage="1" showErrorMessage="1" errorTitle="# Units Error" error="Must be greater than 1." sqref="F21 F25 F28 F51" xr:uid="{00000000-0002-0000-0300-000000000000}">
      <formula1>1</formula1>
      <formula2>999999</formula2>
    </dataValidation>
    <dataValidation type="decimal" errorStyle="warning" allowBlank="1" showInputMessage="1" showErrorMessage="1" errorTitle="Use Rate Error" error="Must be between 0.1600 and 0.3200" sqref="P21" xr:uid="{00000000-0002-0000-0300-000001000000}">
      <formula1>0.16</formula1>
      <formula2>0.32</formula2>
    </dataValidation>
    <dataValidation type="whole" allowBlank="1" showInputMessage="1" showErrorMessage="1" errorTitle="# Units Error" error="Must be greater than 1." sqref="F22:F24 F29:F30 F35:F37 F47:F48 F52 F57:F81" xr:uid="{00000000-0002-0000-0300-000002000000}">
      <formula1>1</formula1>
      <formula2>9999999</formula2>
    </dataValidation>
    <dataValidation type="decimal" errorStyle="warning" allowBlank="1" showInputMessage="1" showErrorMessage="1" errorTitle="Use Rate Error" error="Must be between 1.3000 and 4.0000" sqref="P22" xr:uid="{00000000-0002-0000-0300-000003000000}">
      <formula1>1.3</formula1>
      <formula2>4</formula2>
    </dataValidation>
    <dataValidation type="decimal" errorStyle="warning" allowBlank="1" showInputMessage="1" showErrorMessage="1" errorTitle="Use Rate Error" error="Must be between 0.5000 and 1.9000" sqref="P23" xr:uid="{00000000-0002-0000-0300-000004000000}">
      <formula1>0.5</formula1>
      <formula2>1.9</formula2>
    </dataValidation>
    <dataValidation type="decimal" errorStyle="warning" allowBlank="1" showInputMessage="1" showErrorMessage="1" errorTitle="Use Rate Error" error="Must be between 0.0570 and 0.1130" sqref="P24" xr:uid="{00000000-0002-0000-0300-000005000000}">
      <formula1>0.057</formula1>
      <formula2>0.113</formula2>
    </dataValidation>
    <dataValidation type="decimal" errorStyle="warning" allowBlank="1" showInputMessage="1" showErrorMessage="1" errorTitle="Use Rate Error" error="Must be between 0.1150 and 0.2300" sqref="P25" xr:uid="{00000000-0002-0000-0300-000006000000}">
      <formula1>0.115</formula1>
      <formula2>0.23</formula2>
    </dataValidation>
    <dataValidation type="whole" allowBlank="1" showInputMessage="1" showErrorMessage="1" errorTitle="# Units Error" error="Must be between 1 and 2" sqref="F26" xr:uid="{00000000-0002-0000-0300-000007000000}">
      <formula1>1</formula1>
      <formula2>2</formula2>
    </dataValidation>
    <dataValidation type="decimal" errorStyle="warning" allowBlank="1" showInputMessage="1" showErrorMessage="1" errorTitle="Use Rate Error" error="Must be between 4.0000 and 8.0000" sqref="P26:P27 P63" xr:uid="{00000000-0002-0000-0300-000008000000}">
      <formula1>4</formula1>
      <formula2>8</formula2>
    </dataValidation>
    <dataValidation type="whole" allowBlank="1" showInputMessage="1" showErrorMessage="1" errorTitle="# Units Error" error="Must be greater than 3." sqref="F27" xr:uid="{00000000-0002-0000-0300-000009000000}">
      <formula1>3</formula1>
      <formula2>9999999</formula2>
    </dataValidation>
    <dataValidation type="decimal" errorStyle="warning" allowBlank="1" showInputMessage="1" showErrorMessage="1" errorTitle="Use Rate Error" error="Must be between 0.1950 and 0.1950" sqref="P28" xr:uid="{00000000-0002-0000-0300-00000A000000}">
      <formula1>0.195</formula1>
      <formula2>0.195</formula2>
    </dataValidation>
    <dataValidation type="decimal" errorStyle="warning" allowBlank="1" showInputMessage="1" showErrorMessage="1" errorTitle="Use Rate Error" error="Must be between 1.5000 and 6.0000" sqref="P29" xr:uid="{00000000-0002-0000-0300-00000B000000}">
      <formula1>1.5</formula1>
      <formula2>6</formula2>
    </dataValidation>
    <dataValidation type="decimal" errorStyle="warning" allowBlank="1" showInputMessage="1" showErrorMessage="1" errorTitle="Use Rate Error" error="Must be between 4.4000 and 15.0000" sqref="P30" xr:uid="{00000000-0002-0000-0300-00000C000000}">
      <formula1>4.4</formula1>
      <formula2>15</formula2>
    </dataValidation>
    <dataValidation type="whole" allowBlank="1" showInputMessage="1" showErrorMessage="1" errorTitle="# Units Error" error="Must be between 1 and 5" sqref="F31 F33 F49" xr:uid="{00000000-0002-0000-0300-00000D000000}">
      <formula1>1</formula1>
      <formula2>5</formula2>
    </dataValidation>
    <dataValidation type="decimal" errorStyle="warning" allowBlank="1" showInputMessage="1" showErrorMessage="1" errorTitle="Use Rate Error" error="Must be between 0.1950 and 0.3900" sqref="P31:P32" xr:uid="{00000000-0002-0000-0300-00000E000000}">
      <formula1>0.195</formula1>
      <formula2>0.39</formula2>
    </dataValidation>
    <dataValidation type="whole" allowBlank="1" showInputMessage="1" showErrorMessage="1" errorTitle="# Units Error" error="Must be greater than 6." sqref="F32 F34 F50" xr:uid="{00000000-0002-0000-0300-00000F000000}">
      <formula1>6</formula1>
      <formula2>9999999</formula2>
    </dataValidation>
    <dataValidation type="decimal" errorStyle="warning" allowBlank="1" showInputMessage="1" showErrorMessage="1" errorTitle="Use Rate Error" error="Must be between 2.0000 and 7.0000" sqref="P33:P34" xr:uid="{00000000-0002-0000-0300-000010000000}">
      <formula1>2</formula1>
      <formula2>7</formula2>
    </dataValidation>
    <dataValidation type="decimal" errorStyle="warning" allowBlank="1" showInputMessage="1" showErrorMessage="1" errorTitle="Use Rate Error" error="Must be between 0.1470 and 0.1970" sqref="P35 P71" xr:uid="{00000000-0002-0000-0300-000011000000}">
      <formula1>0.147</formula1>
      <formula2>0.197</formula2>
    </dataValidation>
    <dataValidation type="decimal" errorStyle="warning" allowBlank="1" showInputMessage="1" showErrorMessage="1" errorTitle="Use Rate Error" error="Must be between 1.0000 and 2.0000" sqref="P36 P49:P50" xr:uid="{00000000-0002-0000-0300-000012000000}">
      <formula1>1</formula1>
      <formula2>2</formula2>
    </dataValidation>
    <dataValidation type="decimal" errorStyle="warning" allowBlank="1" showInputMessage="1" showErrorMessage="1" errorTitle="Use Rate Error" error="Must be between 0.1000 and 0.8000" sqref="P37 P75" xr:uid="{00000000-0002-0000-0300-000013000000}">
      <formula1>0.1</formula1>
      <formula2>0.8</formula2>
    </dataValidation>
    <dataValidation type="whole" allowBlank="1" showInputMessage="1" showErrorMessage="1" errorTitle="# Units Error" error="Must be between 1 and 11" sqref="F38" xr:uid="{00000000-0002-0000-0300-000014000000}">
      <formula1>1</formula1>
      <formula2>11</formula2>
    </dataValidation>
    <dataValidation type="decimal" errorStyle="warning" allowBlank="1" showInputMessage="1" showErrorMessage="1" errorTitle="Use Rate Error" error="Must be between 1.8500 and 2.8000" sqref="P38:P40" xr:uid="{00000000-0002-0000-0300-000015000000}">
      <formula1>1.85</formula1>
      <formula2>2.8</formula2>
    </dataValidation>
    <dataValidation type="whole" allowBlank="1" showInputMessage="1" showErrorMessage="1" errorTitle="# Units Error" error="Must be between 12 and 39" sqref="F39" xr:uid="{00000000-0002-0000-0300-000016000000}">
      <formula1>12</formula1>
      <formula2>39</formula2>
    </dataValidation>
    <dataValidation type="whole" allowBlank="1" showInputMessage="1" showErrorMessage="1" errorTitle="# Units Error" error="Must be greater than 40." sqref="F40" xr:uid="{00000000-0002-0000-0300-000017000000}">
      <formula1>40</formula1>
      <formula2>9999999</formula2>
    </dataValidation>
    <dataValidation type="whole" allowBlank="1" showInputMessage="1" showErrorMessage="1" errorTitle="# Units Error" error="Must be between 1 and 23" sqref="F41" xr:uid="{00000000-0002-0000-0300-000018000000}">
      <formula1>1</formula1>
      <formula2>23</formula2>
    </dataValidation>
    <dataValidation type="decimal" errorStyle="warning" allowBlank="1" showInputMessage="1" showErrorMessage="1" errorTitle="Use Rate Error" error="Must be between 2.0000 and 6.0000" sqref="P41:P42" xr:uid="{00000000-0002-0000-0300-000019000000}">
      <formula1>2</formula1>
      <formula2>6</formula2>
    </dataValidation>
    <dataValidation type="whole" allowBlank="1" showInputMessage="1" showErrorMessage="1" errorTitle="# Units Error" error="Must be greater than 24." sqref="F42" xr:uid="{00000000-0002-0000-0300-00001A000000}">
      <formula1>24</formula1>
      <formula2>9999999</formula2>
    </dataValidation>
    <dataValidation type="whole" allowBlank="1" showInputMessage="1" showErrorMessage="1" errorTitle="# Units Error" error="Must be between 1 and 3" sqref="F43" xr:uid="{00000000-0002-0000-0300-00001B000000}">
      <formula1>1</formula1>
      <formula2>3</formula2>
    </dataValidation>
    <dataValidation type="decimal" errorStyle="warning" allowBlank="1" showInputMessage="1" showErrorMessage="1" errorTitle="Use Rate Error" error="Must be between 0.0680 and 0.2300" sqref="P43:P47" xr:uid="{00000000-0002-0000-0300-00001C000000}">
      <formula1>0.068</formula1>
      <formula2>0.23</formula2>
    </dataValidation>
    <dataValidation type="whole" allowBlank="1" showInputMessage="1" showErrorMessage="1" errorTitle="# Units Error" error="Must be between 4 and 13" sqref="F44" xr:uid="{00000000-0002-0000-0300-00001D000000}">
      <formula1>4</formula1>
      <formula2>13</formula2>
    </dataValidation>
    <dataValidation type="whole" allowBlank="1" showInputMessage="1" showErrorMessage="1" errorTitle="# Units Error" error="Must be between 14 and 25" sqref="F45" xr:uid="{00000000-0002-0000-0300-00001E000000}">
      <formula1>14</formula1>
      <formula2>25</formula2>
    </dataValidation>
    <dataValidation type="whole" allowBlank="1" showInputMessage="1" showErrorMessage="1" errorTitle="# Units Error" error="Must be greater than 26." sqref="F46" xr:uid="{00000000-0002-0000-0300-00001F000000}">
      <formula1>26</formula1>
      <formula2>9999999</formula2>
    </dataValidation>
    <dataValidation type="decimal" errorStyle="warning" allowBlank="1" showInputMessage="1" showErrorMessage="1" errorTitle="Use Rate Error" error="Must be between 2.3000 and 4.6000" sqref="P48" xr:uid="{00000000-0002-0000-0300-000020000000}">
      <formula1>2.3</formula1>
      <formula2>4.6</formula2>
    </dataValidation>
    <dataValidation type="decimal" errorStyle="warning" allowBlank="1" showInputMessage="1" showErrorMessage="1" errorTitle="Use Rate Error" error="Must be between 0.3670 and 0.7350" sqref="P51" xr:uid="{00000000-0002-0000-0300-000021000000}">
      <formula1>0.367</formula1>
      <formula2>0.735</formula2>
    </dataValidation>
    <dataValidation type="decimal" errorStyle="warning" allowBlank="1" showInputMessage="1" showErrorMessage="1" errorTitle="Use Rate Error" error="Must be between 0.0230 and 0.0730" sqref="P52" xr:uid="{00000000-0002-0000-0300-000022000000}">
      <formula1>0.023</formula1>
      <formula2>0.073</formula2>
    </dataValidation>
    <dataValidation type="decimal" errorStyle="warning" allowBlank="1" showInputMessage="1" showErrorMessage="1" errorTitle="Use Rate Error" error="Must be between 2.0000 and 8.0000" sqref="P57 P61" xr:uid="{00000000-0002-0000-0300-000023000000}">
      <formula1>2</formula1>
      <formula2>8</formula2>
    </dataValidation>
    <dataValidation type="decimal" errorStyle="warning" allowBlank="1" showInputMessage="1" showErrorMessage="1" errorTitle="Use Rate Error" error="Must be between 0.0800 and 0.9000" sqref="P58:P59" xr:uid="{00000000-0002-0000-0300-000024000000}">
      <formula1>0.08</formula1>
      <formula2>0.9</formula2>
    </dataValidation>
    <dataValidation type="decimal" errorStyle="warning" allowBlank="1" showInputMessage="1" showErrorMessage="1" errorTitle="Use Rate Error" error="Must be between 0.6000 and 1.5000" sqref="P60" xr:uid="{00000000-0002-0000-0300-000025000000}">
      <formula1>0.6</formula1>
      <formula2>1.5</formula2>
    </dataValidation>
    <dataValidation type="decimal" errorStyle="warning" allowBlank="1" showInputMessage="1" showErrorMessage="1" errorTitle="Use Rate Error" error="Must be between 0.7500 and 6.0000" sqref="P62" xr:uid="{00000000-0002-0000-0300-000026000000}">
      <formula1>0.75</formula1>
      <formula2>6</formula2>
    </dataValidation>
    <dataValidation type="decimal" errorStyle="warning" allowBlank="1" showInputMessage="1" showErrorMessage="1" errorTitle="Use Rate Error" error="Must be between 0.1000 and 0.2500" sqref="P64" xr:uid="{00000000-0002-0000-0300-000027000000}">
      <formula1>0.1</formula1>
      <formula2>0.25</formula2>
    </dataValidation>
    <dataValidation type="decimal" errorStyle="warning" allowBlank="1" showInputMessage="1" showErrorMessage="1" errorTitle="Use Rate Error" error="Must be between 4.6000 and 6.9000" sqref="P66" xr:uid="{00000000-0002-0000-0300-000028000000}">
      <formula1>4.6</formula1>
      <formula2>6.9</formula2>
    </dataValidation>
    <dataValidation type="decimal" errorStyle="warning" allowBlank="1" showInputMessage="1" showErrorMessage="1" errorTitle="Use Rate Error" error="Must be between 2.0000 and 3.0000" sqref="P67" xr:uid="{00000000-0002-0000-0300-000029000000}">
      <formula1>2</formula1>
      <formula2>3</formula2>
    </dataValidation>
    <dataValidation type="decimal" errorStyle="warning" allowBlank="1" showInputMessage="1" showErrorMessage="1" errorTitle="Use Rate Error" error="Must be between 0.0320 and 0.0900" sqref="P68" xr:uid="{00000000-0002-0000-0300-00002A000000}">
      <formula1>0.032</formula1>
      <formula2>0.09</formula2>
    </dataValidation>
    <dataValidation type="decimal" errorStyle="warning" allowBlank="1" showInputMessage="1" showErrorMessage="1" errorTitle="Use Rate Error" error="Must be between 1.4000 and 1.8000" sqref="P69" xr:uid="{00000000-0002-0000-0300-00002B000000}">
      <formula1>1.4</formula1>
      <formula2>1.8</formula2>
    </dataValidation>
    <dataValidation type="decimal" errorStyle="warning" allowBlank="1" showInputMessage="1" showErrorMessage="1" errorTitle="Use Rate Error" error="Must be between 0.4600 and 0.6000" sqref="P70" xr:uid="{00000000-0002-0000-0300-00002C000000}">
      <formula1>0.46</formula1>
      <formula2>0.6</formula2>
    </dataValidation>
    <dataValidation type="decimal" errorStyle="warning" allowBlank="1" showInputMessage="1" showErrorMessage="1" errorTitle="Use Rate Error" error="Must be between 1.0000 and 4.5000" sqref="P72" xr:uid="{00000000-0002-0000-0300-00002D000000}">
      <formula1>1</formula1>
      <formula2>4.5</formula2>
    </dataValidation>
    <dataValidation type="decimal" errorStyle="warning" allowBlank="1" showInputMessage="1" showErrorMessage="1" errorTitle="Use Rate Error" error="Must be between 1.5000 and 4.5000" sqref="P73" xr:uid="{00000000-0002-0000-0300-00002E000000}">
      <formula1>1.5</formula1>
      <formula2>4.5</formula2>
    </dataValidation>
    <dataValidation type="decimal" errorStyle="warning" allowBlank="1" showInputMessage="1" showErrorMessage="1" errorTitle="Use Rate Error" error="Must be between 5.0000 and 5.0000" sqref="P74" xr:uid="{00000000-0002-0000-0300-00002F000000}">
      <formula1>5</formula1>
      <formula2>5</formula2>
    </dataValidation>
    <dataValidation type="decimal" errorStyle="warning" allowBlank="1" showInputMessage="1" showErrorMessage="1" errorTitle="Use Rate Error" error="Must be between 2.0000 and 10.0000" sqref="P76" xr:uid="{00000000-0002-0000-0300-000030000000}">
      <formula1>2</formula1>
      <formula2>10</formula2>
    </dataValidation>
    <dataValidation type="decimal" errorStyle="warning" allowBlank="1" showInputMessage="1" showErrorMessage="1" errorTitle="Use Rate Error" error="Must be between 16.0000 and 16.0000" sqref="P77" xr:uid="{00000000-0002-0000-0300-000031000000}">
      <formula1>16</formula1>
      <formula2>16</formula2>
    </dataValidation>
    <dataValidation type="decimal" errorStyle="warning" allowBlank="1" showInputMessage="1" showErrorMessage="1" errorTitle="Use Rate Error" error="Must be between 0.1380 and 0.2750" sqref="P78:P79" xr:uid="{00000000-0002-0000-0300-000032000000}">
      <formula1>0.138</formula1>
      <formula2>0.275</formula2>
    </dataValidation>
    <dataValidation type="decimal" errorStyle="warning" allowBlank="1" showInputMessage="1" showErrorMessage="1" errorTitle="Use Rate Error" error="Must be between 0.1770 and 0.3540" sqref="P80" xr:uid="{00000000-0002-0000-0300-000033000000}">
      <formula1>0.177</formula1>
      <formula2>0.354</formula2>
    </dataValidation>
    <dataValidation type="decimal" errorStyle="warning" allowBlank="1" showInputMessage="1" showErrorMessage="1" errorTitle="Use Rate Error" error="Must be between 0.1760 and 0.3520" sqref="P81" xr:uid="{00000000-0002-0000-0300-000034000000}">
      <formula1>0.176</formula1>
      <formula2>0.352</formula2>
    </dataValidation>
  </dataValidations>
  <pageMargins left="0.75" right="0.75" top="0.75" bottom="0.5" header="0.5" footer="0.75"/>
  <customProperties>
    <customPr name="_pios_id" r:id="rId1"/>
  </customPropertie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M84"/>
  <sheetViews>
    <sheetView workbookViewId="0">
      <selection activeCell="F21" sqref="F21"/>
    </sheetView>
  </sheetViews>
  <sheetFormatPr baseColWidth="10" defaultColWidth="9.1640625" defaultRowHeight="14" x14ac:dyDescent="0.2"/>
  <cols>
    <col min="1" max="1" width="8.5" style="1" customWidth="1"/>
    <col min="2" max="2" width="8.1640625" style="1" customWidth="1"/>
    <col min="3" max="3" width="15.6640625" style="1" hidden="1" customWidth="1"/>
    <col min="4" max="4" width="40.6640625" style="1" customWidth="1"/>
    <col min="5" max="5" width="20.6640625" style="1" customWidth="1"/>
    <col min="6" max="6" width="9.1640625" style="2" customWidth="1"/>
    <col min="7" max="8" width="12.6640625" style="4" hidden="1" customWidth="1"/>
    <col min="9" max="9" width="12.6640625" style="4" customWidth="1"/>
    <col min="10" max="10" width="15.6640625" style="4" customWidth="1"/>
    <col min="11" max="11" width="15.6640625" style="3" customWidth="1"/>
    <col min="12" max="13" width="15.6640625" style="4" customWidth="1"/>
    <col min="14" max="14" width="9.1640625" style="4" hidden="1" customWidth="1"/>
    <col min="15" max="15" width="15.6640625" style="4" hidden="1" customWidth="1"/>
    <col min="16" max="16" width="9.6640625" style="15" customWidth="1"/>
    <col min="17" max="18" width="9.6640625" style="16" customWidth="1"/>
    <col min="19" max="19" width="15.6640625" style="15" customWidth="1"/>
    <col min="20" max="21" width="15.6640625" style="15" hidden="1" customWidth="1"/>
    <col min="22" max="22" width="10.6640625" style="15" hidden="1" customWidth="1"/>
    <col min="23" max="25" width="15.6640625" style="15" hidden="1" customWidth="1"/>
    <col min="26" max="27" width="15.6640625" style="15" customWidth="1"/>
    <col min="28" max="30" width="15.6640625" style="15" hidden="1" customWidth="1"/>
    <col min="31" max="31" width="15.6640625" style="4" hidden="1" customWidth="1"/>
    <col min="32" max="32" width="15.6640625" style="1" hidden="1" customWidth="1"/>
    <col min="33" max="33" width="2.83203125" style="1" customWidth="1"/>
    <col min="34" max="34" width="40.6640625" style="1" customWidth="1"/>
    <col min="35" max="35" width="15.6640625" style="1" customWidth="1"/>
    <col min="36" max="36" width="10.6640625" style="2" customWidth="1"/>
    <col min="37" max="37" width="10.6640625" style="1" customWidth="1"/>
    <col min="38" max="38" width="10.6640625" style="15" customWidth="1"/>
    <col min="39" max="39" width="10.6640625" style="16" customWidth="1"/>
    <col min="40" max="40" width="9.1640625" style="1" customWidth="1"/>
    <col min="41" max="16384" width="9.1640625" style="1"/>
  </cols>
  <sheetData>
    <row r="1" spans="2:39" s="17" customFormat="1" ht="56.25" customHeight="1" x14ac:dyDescent="0.2">
      <c r="B1" s="120" t="s">
        <v>259</v>
      </c>
      <c r="C1" s="120"/>
      <c r="D1" s="120"/>
      <c r="E1" s="120"/>
      <c r="F1" s="121"/>
      <c r="G1" s="122"/>
      <c r="H1" s="122"/>
      <c r="I1" s="122"/>
      <c r="J1" s="122"/>
      <c r="K1" s="123"/>
      <c r="L1" s="122"/>
      <c r="M1" s="122"/>
      <c r="N1" s="122"/>
      <c r="O1" s="122"/>
      <c r="P1" s="124"/>
      <c r="Q1" s="125"/>
      <c r="R1" s="125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2"/>
      <c r="AJ1" s="18"/>
      <c r="AL1" s="19"/>
      <c r="AM1" s="20"/>
    </row>
    <row r="3" spans="2:39" x14ac:dyDescent="0.2">
      <c r="B3" s="145" t="s">
        <v>38</v>
      </c>
      <c r="C3" s="127"/>
      <c r="D3" s="127"/>
      <c r="E3" s="128"/>
    </row>
    <row r="4" spans="2:39" x14ac:dyDescent="0.2">
      <c r="B4" s="129"/>
      <c r="C4" s="127"/>
      <c r="D4" s="127"/>
      <c r="E4" s="128"/>
    </row>
    <row r="5" spans="2:39" x14ac:dyDescent="0.2">
      <c r="B5" s="146" t="s">
        <v>39</v>
      </c>
      <c r="C5" s="131"/>
      <c r="D5" s="131"/>
      <c r="E5" s="132"/>
    </row>
    <row r="6" spans="2:39" x14ac:dyDescent="0.2">
      <c r="B6" s="133"/>
      <c r="C6" s="131"/>
      <c r="D6" s="131"/>
      <c r="E6" s="132"/>
    </row>
    <row r="7" spans="2:39" x14ac:dyDescent="0.2">
      <c r="B7" s="147" t="s">
        <v>260</v>
      </c>
      <c r="C7" s="135"/>
      <c r="D7" s="135"/>
      <c r="E7" s="136"/>
    </row>
    <row r="8" spans="2:39" x14ac:dyDescent="0.2">
      <c r="B8" s="147" t="s">
        <v>261</v>
      </c>
      <c r="C8" s="135"/>
      <c r="D8" s="135"/>
      <c r="E8" s="136"/>
    </row>
    <row r="9" spans="2:39" x14ac:dyDescent="0.2">
      <c r="B9" s="143" t="s">
        <v>262</v>
      </c>
      <c r="C9" s="138"/>
      <c r="D9" s="138"/>
      <c r="E9" s="139"/>
    </row>
    <row r="10" spans="2:39" x14ac:dyDescent="0.2">
      <c r="B10" s="144" t="s">
        <v>263</v>
      </c>
      <c r="C10" s="141"/>
      <c r="D10" s="141"/>
      <c r="E10" s="141"/>
    </row>
    <row r="11" spans="2:39" x14ac:dyDescent="0.2">
      <c r="B11" s="144" t="s">
        <v>264</v>
      </c>
      <c r="C11" s="141"/>
      <c r="D11" s="141"/>
      <c r="E11" s="141"/>
    </row>
    <row r="14" spans="2:39" x14ac:dyDescent="0.2">
      <c r="B14" s="79" t="s">
        <v>45</v>
      </c>
      <c r="C14" s="79"/>
      <c r="D14" s="79"/>
      <c r="E14" s="79"/>
      <c r="AH14" s="79" t="s">
        <v>46</v>
      </c>
      <c r="AI14" s="79"/>
      <c r="AJ14" s="113"/>
      <c r="AK14" s="79"/>
      <c r="AL14" s="114"/>
      <c r="AM14" s="115"/>
    </row>
    <row r="15" spans="2:39" x14ac:dyDescent="0.2">
      <c r="B15" s="79"/>
      <c r="C15" s="79"/>
      <c r="D15" s="79"/>
      <c r="E15" s="79"/>
      <c r="AH15" s="79"/>
      <c r="AI15" s="79"/>
      <c r="AJ15" s="113"/>
      <c r="AK15" s="79"/>
      <c r="AL15" s="114"/>
      <c r="AM15" s="115"/>
    </row>
    <row r="16" spans="2:39" x14ac:dyDescent="0.2">
      <c r="AH16" s="116" t="s">
        <v>265</v>
      </c>
      <c r="AI16" s="116"/>
      <c r="AJ16" s="117"/>
      <c r="AK16" s="116"/>
      <c r="AL16" s="118"/>
      <c r="AM16" s="119"/>
    </row>
    <row r="17" spans="2:39" x14ac:dyDescent="0.2">
      <c r="B17" s="90" t="s">
        <v>48</v>
      </c>
      <c r="C17" s="90"/>
      <c r="D17" s="90"/>
      <c r="E17" s="90"/>
      <c r="F17" s="91"/>
      <c r="G17" s="92"/>
      <c r="H17" s="92"/>
      <c r="I17" s="92"/>
      <c r="J17" s="92"/>
      <c r="K17" s="93"/>
      <c r="L17" s="92"/>
      <c r="M17" s="92"/>
      <c r="N17" s="92"/>
      <c r="O17" s="92"/>
      <c r="P17" s="94"/>
      <c r="Q17" s="95"/>
      <c r="R17" s="95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2"/>
      <c r="AF17" s="21"/>
      <c r="AH17" s="116"/>
      <c r="AI17" s="116"/>
      <c r="AJ17" s="117"/>
      <c r="AK17" s="116"/>
      <c r="AL17" s="118"/>
      <c r="AM17" s="119"/>
    </row>
    <row r="18" spans="2:39" x14ac:dyDescent="0.2">
      <c r="B18" s="87" t="s">
        <v>49</v>
      </c>
      <c r="C18" s="97" t="s">
        <v>6</v>
      </c>
      <c r="D18" s="97" t="s">
        <v>7</v>
      </c>
      <c r="E18" s="97" t="s">
        <v>50</v>
      </c>
      <c r="F18" s="142" t="s">
        <v>51</v>
      </c>
      <c r="G18" s="84" t="s">
        <v>52</v>
      </c>
      <c r="H18" s="84" t="s">
        <v>53</v>
      </c>
      <c r="I18" s="101" t="s">
        <v>54</v>
      </c>
      <c r="J18" s="101" t="s">
        <v>55</v>
      </c>
      <c r="K18" s="104" t="s">
        <v>11</v>
      </c>
      <c r="L18" s="84" t="s">
        <v>56</v>
      </c>
      <c r="M18" s="101" t="s">
        <v>57</v>
      </c>
      <c r="N18" s="84" t="s">
        <v>58</v>
      </c>
      <c r="O18" s="84" t="s">
        <v>59</v>
      </c>
      <c r="P18" s="81" t="s">
        <v>60</v>
      </c>
      <c r="Q18" s="110" t="s">
        <v>61</v>
      </c>
      <c r="R18" s="110" t="s">
        <v>62</v>
      </c>
      <c r="S18" s="81" t="s">
        <v>63</v>
      </c>
      <c r="T18" s="81" t="s">
        <v>64</v>
      </c>
      <c r="U18" s="81" t="s">
        <v>65</v>
      </c>
      <c r="V18" s="81" t="s">
        <v>66</v>
      </c>
      <c r="W18" s="81" t="s">
        <v>67</v>
      </c>
      <c r="X18" s="81" t="s">
        <v>68</v>
      </c>
      <c r="Y18" s="81" t="s">
        <v>69</v>
      </c>
      <c r="Z18" s="81" t="s">
        <v>2</v>
      </c>
      <c r="AA18" s="81" t="s">
        <v>70</v>
      </c>
      <c r="AB18" s="81" t="s">
        <v>71</v>
      </c>
      <c r="AC18" s="81" t="s">
        <v>72</v>
      </c>
      <c r="AD18" s="81" t="s">
        <v>73</v>
      </c>
      <c r="AE18" s="84" t="s">
        <v>49</v>
      </c>
      <c r="AF18" s="87" t="s">
        <v>74</v>
      </c>
      <c r="AH18" s="116"/>
      <c r="AI18" s="116"/>
      <c r="AJ18" s="117"/>
      <c r="AK18" s="116"/>
      <c r="AL18" s="118"/>
      <c r="AM18" s="119"/>
    </row>
    <row r="19" spans="2:39" x14ac:dyDescent="0.2">
      <c r="B19" s="88"/>
      <c r="C19" s="88"/>
      <c r="D19" s="88"/>
      <c r="E19" s="88"/>
      <c r="F19" s="99"/>
      <c r="G19" s="85"/>
      <c r="H19" s="85"/>
      <c r="I19" s="85"/>
      <c r="J19" s="85"/>
      <c r="K19" s="105"/>
      <c r="L19" s="85"/>
      <c r="M19" s="85"/>
      <c r="N19" s="85"/>
      <c r="O19" s="85"/>
      <c r="P19" s="108"/>
      <c r="Q19" s="111"/>
      <c r="R19" s="111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5"/>
      <c r="AF19" s="88"/>
    </row>
    <row r="20" spans="2:39" x14ac:dyDescent="0.2">
      <c r="B20" s="88"/>
      <c r="C20" s="88"/>
      <c r="D20" s="88"/>
      <c r="E20" s="88"/>
      <c r="F20" s="99"/>
      <c r="G20" s="85"/>
      <c r="H20" s="85"/>
      <c r="I20" s="85"/>
      <c r="J20" s="85"/>
      <c r="K20" s="105"/>
      <c r="L20" s="85"/>
      <c r="M20" s="85"/>
      <c r="N20" s="85"/>
      <c r="O20" s="85"/>
      <c r="P20" s="108"/>
      <c r="Q20" s="111"/>
      <c r="R20" s="111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5"/>
      <c r="AF20" s="88"/>
      <c r="AH20" s="71" t="s">
        <v>158</v>
      </c>
      <c r="AI20" s="71"/>
      <c r="AJ20" s="72"/>
      <c r="AK20" s="71"/>
      <c r="AL20" s="73"/>
      <c r="AM20" s="74"/>
    </row>
    <row r="21" spans="2:39" x14ac:dyDescent="0.2">
      <c r="B21" s="24">
        <v>1</v>
      </c>
      <c r="C21" s="25" t="s">
        <v>14</v>
      </c>
      <c r="D21" s="25" t="s">
        <v>15</v>
      </c>
      <c r="E21" s="25" t="s">
        <v>16</v>
      </c>
      <c r="F21" s="26"/>
      <c r="G21" s="27">
        <v>999.2</v>
      </c>
      <c r="H21" s="27" t="str">
        <f t="shared" ref="H21:H37" si="0">IF(F21*G21= 0,"",F21*G21)</f>
        <v/>
      </c>
      <c r="I21" s="27">
        <v>999.2</v>
      </c>
      <c r="J21" s="27" t="str">
        <f t="shared" ref="J21:J37" si="1">IF(F21*I21= 0,"",F21*I21)</f>
        <v/>
      </c>
      <c r="K21" s="28">
        <f t="shared" ref="K21:K37" ca="1" si="2">IF(AND(AD21 &lt;&gt; "", SUM(S21:AC21) &lt;= AD21), SUM(S21:AC21), AD21)</f>
        <v>0</v>
      </c>
      <c r="L21" s="27" t="str">
        <f t="shared" ref="L21:L37" si="3">IF(F21 ="","",F21*K21*N21)</f>
        <v/>
      </c>
      <c r="M21" s="27" t="str">
        <f t="shared" ref="M21:M37" si="4">IF(AND(F21&lt;&gt;"",F21&gt;0),((J21/F21)-(L21/F21)),"")</f>
        <v/>
      </c>
      <c r="N21" s="27">
        <v>999.2</v>
      </c>
      <c r="O21" s="27" t="str">
        <f t="shared" ref="O21:O37" si="5">IF(AND(F21&lt;&gt;"",F21&gt;0), F21*M21,"")</f>
        <v/>
      </c>
      <c r="P21" s="29">
        <v>2</v>
      </c>
      <c r="Q21" s="30">
        <f t="shared" ref="Q21:Q37" si="6">P21*43.56</f>
        <v>87.12</v>
      </c>
      <c r="R21" s="30" t="str">
        <f>IF(AND(TRIM(Q21)&lt;&gt;"",TRIM(F21)&lt;&gt;""),(F21*319.999849189052)/Q21,"")</f>
        <v/>
      </c>
      <c r="S21" s="31" t="str">
        <f ca="1">IF(AND(F21 &lt;&gt;"",F21&gt;0), IFERROR(VLOOKUP(F21,INDIRECT(AF21),3,TRUE),0), "")</f>
        <v/>
      </c>
      <c r="T21" s="31"/>
      <c r="U21" s="31"/>
      <c r="V21" s="31"/>
      <c r="W21" s="31"/>
      <c r="X21" s="31"/>
      <c r="Y21" s="31"/>
      <c r="Z21" s="31" t="str">
        <f>IF(AND(B21 = 1, F21 &lt;&gt;""), Z65,"")</f>
        <v/>
      </c>
      <c r="AA21" s="31" t="str">
        <f>IF(F21 = "", "", IF(OR(AND(AND(F21 &gt;= 4, F21 &lt;= 999999), AND(SUM(F25) &gt;= 3, SUM(F25) &lt; 999999)),AND(AND(F21 &gt;= 4, F21 &lt;= 999999), AND(SUM(F35) &gt;= 24, SUM(F35) &lt; 999999))), 0.025020016012,""))</f>
        <v/>
      </c>
      <c r="AB21" s="31"/>
      <c r="AC21" s="31"/>
      <c r="AD21" s="31">
        <v>1</v>
      </c>
      <c r="AE21" s="27">
        <f t="shared" ref="AE21:AE37" si="7">IF(F21 = "",0,N21*F21)</f>
        <v>0</v>
      </c>
      <c r="AF21" s="25" t="s">
        <v>79</v>
      </c>
      <c r="AH21" s="71"/>
      <c r="AI21" s="71"/>
      <c r="AJ21" s="72"/>
      <c r="AK21" s="71"/>
      <c r="AL21" s="73"/>
      <c r="AM21" s="74"/>
    </row>
    <row r="22" spans="2:39" x14ac:dyDescent="0.2">
      <c r="B22" s="24"/>
      <c r="C22" s="25" t="s">
        <v>80</v>
      </c>
      <c r="D22" s="25" t="s">
        <v>81</v>
      </c>
      <c r="E22" s="25" t="s">
        <v>16</v>
      </c>
      <c r="F22" s="26"/>
      <c r="G22" s="27">
        <v>1385</v>
      </c>
      <c r="H22" s="27" t="str">
        <f t="shared" si="0"/>
        <v/>
      </c>
      <c r="I22" s="27">
        <v>1385</v>
      </c>
      <c r="J22" s="27" t="str">
        <f t="shared" si="1"/>
        <v/>
      </c>
      <c r="K22" s="28">
        <f t="shared" si="2"/>
        <v>0</v>
      </c>
      <c r="L22" s="27" t="str">
        <f t="shared" si="3"/>
        <v/>
      </c>
      <c r="M22" s="27" t="str">
        <f t="shared" si="4"/>
        <v/>
      </c>
      <c r="N22" s="27">
        <v>0</v>
      </c>
      <c r="O22" s="27" t="str">
        <f t="shared" si="5"/>
        <v/>
      </c>
      <c r="P22" s="29">
        <v>1</v>
      </c>
      <c r="Q22" s="30">
        <f t="shared" si="6"/>
        <v>43.56</v>
      </c>
      <c r="R22" s="30" t="str">
        <f>IF(AND(TRIM(Q22)&lt;&gt;"",TRIM(F22)&lt;&gt;""),(F22*319.999849189052)/Q22,"")</f>
        <v/>
      </c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27">
        <f t="shared" si="7"/>
        <v>0</v>
      </c>
      <c r="AF22" s="25"/>
      <c r="AH22" s="75"/>
      <c r="AI22" s="75"/>
      <c r="AJ22" s="76"/>
      <c r="AK22" s="75"/>
      <c r="AL22" s="77"/>
      <c r="AM22" s="78"/>
    </row>
    <row r="23" spans="2:39" x14ac:dyDescent="0.2">
      <c r="B23" s="24">
        <v>1</v>
      </c>
      <c r="C23" s="25" t="s">
        <v>85</v>
      </c>
      <c r="D23" s="25" t="s">
        <v>86</v>
      </c>
      <c r="E23" s="25" t="s">
        <v>84</v>
      </c>
      <c r="F23" s="26"/>
      <c r="G23" s="27">
        <v>147</v>
      </c>
      <c r="H23" s="27" t="str">
        <f t="shared" si="0"/>
        <v/>
      </c>
      <c r="I23" s="27">
        <v>147</v>
      </c>
      <c r="J23" s="27" t="str">
        <f t="shared" si="1"/>
        <v/>
      </c>
      <c r="K23" s="28">
        <f t="shared" si="2"/>
        <v>0</v>
      </c>
      <c r="L23" s="27" t="str">
        <f t="shared" si="3"/>
        <v/>
      </c>
      <c r="M23" s="27" t="str">
        <f t="shared" si="4"/>
        <v/>
      </c>
      <c r="N23" s="27">
        <v>147</v>
      </c>
      <c r="O23" s="27" t="str">
        <f t="shared" si="5"/>
        <v/>
      </c>
      <c r="P23" s="29">
        <v>0.17</v>
      </c>
      <c r="Q23" s="30">
        <f t="shared" si="6"/>
        <v>7.4052000000000007</v>
      </c>
      <c r="R23" s="30" t="str">
        <f>IF(AND(TRIM(Q23)&lt;&gt;"",TRIM(F23)&lt;&gt;""),(F23*10)/Q23,"")</f>
        <v/>
      </c>
      <c r="S23" s="31"/>
      <c r="T23" s="31"/>
      <c r="U23" s="31"/>
      <c r="V23" s="31"/>
      <c r="W23" s="31"/>
      <c r="X23" s="31"/>
      <c r="Y23" s="31"/>
      <c r="Z23" s="31" t="str">
        <f>IF(AND(B23 = 1, F23 &lt;&gt;""), Z65,"")</f>
        <v/>
      </c>
      <c r="AA23" s="31"/>
      <c r="AB23" s="31"/>
      <c r="AC23" s="31"/>
      <c r="AD23" s="31">
        <v>1</v>
      </c>
      <c r="AE23" s="27">
        <f t="shared" si="7"/>
        <v>0</v>
      </c>
      <c r="AF23" s="25"/>
      <c r="AH23" s="75"/>
      <c r="AI23" s="75"/>
      <c r="AJ23" s="76"/>
      <c r="AK23" s="75"/>
      <c r="AL23" s="77"/>
      <c r="AM23" s="78"/>
    </row>
    <row r="24" spans="2:39" x14ac:dyDescent="0.2">
      <c r="B24" s="24">
        <v>1</v>
      </c>
      <c r="C24" s="25" t="s">
        <v>90</v>
      </c>
      <c r="D24" s="25" t="s">
        <v>91</v>
      </c>
      <c r="E24" s="25" t="s">
        <v>92</v>
      </c>
      <c r="F24" s="26"/>
      <c r="G24" s="27">
        <v>1317.04</v>
      </c>
      <c r="H24" s="27" t="str">
        <f t="shared" si="0"/>
        <v/>
      </c>
      <c r="I24" s="27">
        <v>1317.04</v>
      </c>
      <c r="J24" s="27" t="str">
        <f t="shared" si="1"/>
        <v/>
      </c>
      <c r="K24" s="28">
        <f t="shared" si="2"/>
        <v>0</v>
      </c>
      <c r="L24" s="27" t="str">
        <f t="shared" si="3"/>
        <v/>
      </c>
      <c r="M24" s="27" t="str">
        <f t="shared" si="4"/>
        <v/>
      </c>
      <c r="N24" s="27">
        <v>1317.04</v>
      </c>
      <c r="O24" s="27" t="str">
        <f t="shared" si="5"/>
        <v/>
      </c>
      <c r="P24" s="29">
        <v>4</v>
      </c>
      <c r="Q24" s="30">
        <f t="shared" si="6"/>
        <v>174.24</v>
      </c>
      <c r="R24" s="30" t="str">
        <f>IF(AND(TRIM(Q24)&lt;&gt;"",TRIM(F24)&lt;&gt;""),(F24*703.999999010471)/Q24,"")</f>
        <v/>
      </c>
      <c r="S24" s="31"/>
      <c r="T24" s="31"/>
      <c r="U24" s="31"/>
      <c r="V24" s="31"/>
      <c r="W24" s="31"/>
      <c r="X24" s="31"/>
      <c r="Y24" s="31"/>
      <c r="Z24" s="31" t="str">
        <f>IF(AND(B24 = 1, F24 &lt;&gt;""), Z65,"")</f>
        <v/>
      </c>
      <c r="AA24" s="31" t="str">
        <f>IF(F24 = "", "", IF(AND(AND(F24 &gt;= 3, F24 &lt;= 999999), AND(SUM(F21:F21) &gt;= 4, SUM(F21:F21) &lt; 999999)), 0.024232633279,""))</f>
        <v/>
      </c>
      <c r="AB24" s="31"/>
      <c r="AC24" s="31"/>
      <c r="AD24" s="31">
        <v>1</v>
      </c>
      <c r="AE24" s="27">
        <f t="shared" si="7"/>
        <v>0</v>
      </c>
      <c r="AF24" s="25"/>
      <c r="AH24" s="63"/>
      <c r="AI24" s="63"/>
      <c r="AJ24" s="64"/>
      <c r="AK24" s="63"/>
      <c r="AL24" s="65"/>
      <c r="AM24" s="66"/>
    </row>
    <row r="25" spans="2:39" ht="27" x14ac:dyDescent="0.2">
      <c r="B25" s="24">
        <v>1</v>
      </c>
      <c r="C25" s="25" t="s">
        <v>90</v>
      </c>
      <c r="D25" s="25" t="s">
        <v>96</v>
      </c>
      <c r="E25" s="25" t="s">
        <v>92</v>
      </c>
      <c r="F25" s="26"/>
      <c r="G25" s="27">
        <v>1317.04</v>
      </c>
      <c r="H25" s="27" t="str">
        <f t="shared" si="0"/>
        <v/>
      </c>
      <c r="I25" s="27">
        <v>1238</v>
      </c>
      <c r="J25" s="27" t="str">
        <f t="shared" si="1"/>
        <v/>
      </c>
      <c r="K25" s="28">
        <f t="shared" si="2"/>
        <v>0</v>
      </c>
      <c r="L25" s="27" t="str">
        <f t="shared" si="3"/>
        <v/>
      </c>
      <c r="M25" s="27" t="str">
        <f t="shared" si="4"/>
        <v/>
      </c>
      <c r="N25" s="27">
        <v>1238</v>
      </c>
      <c r="O25" s="27" t="str">
        <f t="shared" si="5"/>
        <v/>
      </c>
      <c r="P25" s="29">
        <v>4</v>
      </c>
      <c r="Q25" s="30">
        <f t="shared" si="6"/>
        <v>174.24</v>
      </c>
      <c r="R25" s="30" t="str">
        <f>IF(AND(TRIM(Q25)&lt;&gt;"",TRIM(F25)&lt;&gt;""),(F25*703.999999010471)/Q25,"")</f>
        <v/>
      </c>
      <c r="S25" s="31"/>
      <c r="T25" s="31"/>
      <c r="U25" s="31"/>
      <c r="V25" s="31"/>
      <c r="W25" s="31"/>
      <c r="X25" s="31"/>
      <c r="Y25" s="31"/>
      <c r="Z25" s="31" t="str">
        <f>IF(AND(B25 = 1, F25 &lt;&gt;""), Z65,"")</f>
        <v/>
      </c>
      <c r="AA25" s="31" t="str">
        <f>IF(F25 = "", "", IF(AND(AND(F25 &gt;= 3, F25 &lt;= 999999), AND(SUM(F21:F21) &gt;= 4, SUM(F21:F21) &lt; 999999)), 0.024232633279,""))</f>
        <v/>
      </c>
      <c r="AB25" s="31"/>
      <c r="AC25" s="31"/>
      <c r="AD25" s="31">
        <v>1</v>
      </c>
      <c r="AE25" s="27">
        <f t="shared" si="7"/>
        <v>0</v>
      </c>
      <c r="AF25" s="25"/>
      <c r="AH25" s="32" t="s">
        <v>87</v>
      </c>
      <c r="AI25" s="33" t="s">
        <v>50</v>
      </c>
      <c r="AJ25" s="34" t="s">
        <v>51</v>
      </c>
      <c r="AK25" s="33" t="s">
        <v>88</v>
      </c>
      <c r="AL25" s="35" t="s">
        <v>60</v>
      </c>
      <c r="AM25" s="36" t="s">
        <v>89</v>
      </c>
    </row>
    <row r="26" spans="2:39" x14ac:dyDescent="0.2">
      <c r="B26" s="24"/>
      <c r="C26" s="25" t="s">
        <v>106</v>
      </c>
      <c r="D26" s="25" t="s">
        <v>107</v>
      </c>
      <c r="E26" s="25" t="s">
        <v>16</v>
      </c>
      <c r="F26" s="26"/>
      <c r="G26" s="27">
        <v>142.38</v>
      </c>
      <c r="H26" s="27" t="str">
        <f t="shared" si="0"/>
        <v/>
      </c>
      <c r="I26" s="27">
        <v>142.38</v>
      </c>
      <c r="J26" s="27" t="str">
        <f t="shared" si="1"/>
        <v/>
      </c>
      <c r="K26" s="28">
        <f t="shared" si="2"/>
        <v>0</v>
      </c>
      <c r="L26" s="27" t="str">
        <f t="shared" si="3"/>
        <v/>
      </c>
      <c r="M26" s="27" t="str">
        <f t="shared" si="4"/>
        <v/>
      </c>
      <c r="N26" s="27">
        <v>0</v>
      </c>
      <c r="O26" s="27" t="str">
        <f t="shared" si="5"/>
        <v/>
      </c>
      <c r="P26" s="29">
        <v>5</v>
      </c>
      <c r="Q26" s="30">
        <f t="shared" si="6"/>
        <v>217.8</v>
      </c>
      <c r="R26" s="30" t="str">
        <f>IF(AND(TRIM(Q26)&lt;&gt;"",TRIM(F26)&lt;&gt;""),(F26*319.999849189052)/Q26,"")</f>
        <v/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27">
        <f t="shared" si="7"/>
        <v>0</v>
      </c>
      <c r="AF26" s="25"/>
      <c r="AH26" s="37" t="s">
        <v>170</v>
      </c>
      <c r="AI26" s="38" t="s">
        <v>16</v>
      </c>
      <c r="AJ26" s="39">
        <v>4</v>
      </c>
      <c r="AK26" s="24" t="s">
        <v>171</v>
      </c>
      <c r="AL26" s="40">
        <v>2</v>
      </c>
      <c r="AM26" s="30">
        <v>14.692371404456001</v>
      </c>
    </row>
    <row r="27" spans="2:39" x14ac:dyDescent="0.2">
      <c r="B27" s="24">
        <v>1</v>
      </c>
      <c r="C27" s="25" t="s">
        <v>18</v>
      </c>
      <c r="D27" s="25" t="s">
        <v>113</v>
      </c>
      <c r="E27" s="25" t="s">
        <v>16</v>
      </c>
      <c r="F27" s="26"/>
      <c r="G27" s="27">
        <v>472.5</v>
      </c>
      <c r="H27" s="27" t="str">
        <f t="shared" si="0"/>
        <v/>
      </c>
      <c r="I27" s="27">
        <v>472.5</v>
      </c>
      <c r="J27" s="27" t="str">
        <f t="shared" si="1"/>
        <v/>
      </c>
      <c r="K27" s="28">
        <f t="shared" ca="1" si="2"/>
        <v>0</v>
      </c>
      <c r="L27" s="27" t="str">
        <f t="shared" si="3"/>
        <v/>
      </c>
      <c r="M27" s="27" t="str">
        <f t="shared" si="4"/>
        <v/>
      </c>
      <c r="N27" s="27">
        <v>472.5</v>
      </c>
      <c r="O27" s="27" t="str">
        <f t="shared" si="5"/>
        <v/>
      </c>
      <c r="P27" s="29">
        <v>4</v>
      </c>
      <c r="Q27" s="30">
        <f t="shared" si="6"/>
        <v>174.24</v>
      </c>
      <c r="R27" s="30" t="str">
        <f>IF(AND(TRIM(Q27)&lt;&gt;"",TRIM(F27)&lt;&gt;""),(F27*319.999849189052)/Q27,"")</f>
        <v/>
      </c>
      <c r="S27" s="31" t="str">
        <f ca="1">IF(AND(F27 &lt;&gt;"",F27&gt;0), IFERROR(VLOOKUP(F27,INDIRECT(AF27),3,TRUE),0), "")</f>
        <v/>
      </c>
      <c r="T27" s="31"/>
      <c r="U27" s="31"/>
      <c r="V27" s="31"/>
      <c r="W27" s="31"/>
      <c r="X27" s="31"/>
      <c r="Y27" s="31"/>
      <c r="Z27" s="31" t="str">
        <f>IF(AND(B27 = 1, F27 &lt;&gt;""), Z65,"")</f>
        <v/>
      </c>
      <c r="AA27" s="31" t="str">
        <f>IF(F27 = "", "", IF(AND(AND(F27 &gt;= 6, F27 &lt;= 999999), AND(SUM(F30:F30) &gt;= 2, SUM(F30:F30) &lt; 999999)), 0.050602409638,""))</f>
        <v/>
      </c>
      <c r="AB27" s="31"/>
      <c r="AC27" s="31"/>
      <c r="AD27" s="31">
        <v>1</v>
      </c>
      <c r="AE27" s="27">
        <f t="shared" si="7"/>
        <v>0</v>
      </c>
      <c r="AF27" s="25" t="s">
        <v>114</v>
      </c>
      <c r="AH27" s="37" t="s">
        <v>174</v>
      </c>
      <c r="AI27" s="38" t="s">
        <v>92</v>
      </c>
      <c r="AJ27" s="39">
        <v>3</v>
      </c>
      <c r="AK27" s="24" t="s">
        <v>175</v>
      </c>
      <c r="AL27" s="40">
        <v>4</v>
      </c>
      <c r="AM27" s="30">
        <v>12.1212121041748</v>
      </c>
    </row>
    <row r="28" spans="2:39" ht="27" x14ac:dyDescent="0.2">
      <c r="B28" s="24">
        <v>1</v>
      </c>
      <c r="C28" s="25" t="s">
        <v>18</v>
      </c>
      <c r="D28" s="25" t="s">
        <v>115</v>
      </c>
      <c r="E28" s="25" t="s">
        <v>16</v>
      </c>
      <c r="F28" s="26"/>
      <c r="G28" s="27">
        <v>472.5</v>
      </c>
      <c r="H28" s="27" t="str">
        <f t="shared" si="0"/>
        <v/>
      </c>
      <c r="I28" s="27">
        <v>415</v>
      </c>
      <c r="J28" s="27" t="str">
        <f t="shared" si="1"/>
        <v/>
      </c>
      <c r="K28" s="28">
        <f t="shared" ca="1" si="2"/>
        <v>0</v>
      </c>
      <c r="L28" s="27" t="str">
        <f t="shared" si="3"/>
        <v/>
      </c>
      <c r="M28" s="27" t="str">
        <f t="shared" si="4"/>
        <v/>
      </c>
      <c r="N28" s="27">
        <v>415</v>
      </c>
      <c r="O28" s="27" t="str">
        <f t="shared" si="5"/>
        <v/>
      </c>
      <c r="P28" s="29">
        <v>4</v>
      </c>
      <c r="Q28" s="30">
        <f t="shared" si="6"/>
        <v>174.24</v>
      </c>
      <c r="R28" s="30" t="str">
        <f>IF(AND(TRIM(Q28)&lt;&gt;"",TRIM(F28)&lt;&gt;""),(F28*319.999849189052)/Q28,"")</f>
        <v/>
      </c>
      <c r="S28" s="31" t="str">
        <f ca="1">IF(AND(F28 &lt;&gt;"",F28&gt;0), IFERROR(VLOOKUP(F28,INDIRECT(AF28),3,TRUE),0), "")</f>
        <v/>
      </c>
      <c r="T28" s="31"/>
      <c r="U28" s="31"/>
      <c r="V28" s="31"/>
      <c r="W28" s="31"/>
      <c r="X28" s="31"/>
      <c r="Y28" s="31"/>
      <c r="Z28" s="31" t="str">
        <f>IF(AND(B28 = 1, F28 &lt;&gt;""), Z65,"")</f>
        <v/>
      </c>
      <c r="AA28" s="31" t="str">
        <f>IF(F28 = "", "", IF(AND(AND(F28 &gt;= 6, F28 &lt;= 999999), AND(SUM(F30:F30) &gt;= 2, SUM(F30:F30) &lt; 999999)), 0.050602409638,""))</f>
        <v/>
      </c>
      <c r="AB28" s="31"/>
      <c r="AC28" s="31"/>
      <c r="AD28" s="31">
        <v>1</v>
      </c>
      <c r="AE28" s="27">
        <f t="shared" si="7"/>
        <v>0</v>
      </c>
      <c r="AF28" s="25" t="s">
        <v>114</v>
      </c>
      <c r="AH28" s="32" t="s">
        <v>102</v>
      </c>
      <c r="AI28" s="33" t="s">
        <v>50</v>
      </c>
      <c r="AJ28" s="34" t="s">
        <v>51</v>
      </c>
      <c r="AK28" s="33" t="s">
        <v>88</v>
      </c>
      <c r="AL28" s="35" t="s">
        <v>60</v>
      </c>
      <c r="AM28" s="36" t="s">
        <v>89</v>
      </c>
    </row>
    <row r="29" spans="2:39" x14ac:dyDescent="0.2">
      <c r="B29" s="24"/>
      <c r="C29" s="25" t="s">
        <v>116</v>
      </c>
      <c r="D29" s="25" t="s">
        <v>117</v>
      </c>
      <c r="E29" s="25" t="s">
        <v>118</v>
      </c>
      <c r="F29" s="26"/>
      <c r="G29" s="27">
        <v>1255</v>
      </c>
      <c r="H29" s="27" t="str">
        <f t="shared" si="0"/>
        <v/>
      </c>
      <c r="I29" s="27">
        <v>1255</v>
      </c>
      <c r="J29" s="27" t="str">
        <f t="shared" si="1"/>
        <v/>
      </c>
      <c r="K29" s="28">
        <f t="shared" si="2"/>
        <v>0</v>
      </c>
      <c r="L29" s="27" t="str">
        <f t="shared" si="3"/>
        <v/>
      </c>
      <c r="M29" s="27" t="str">
        <f t="shared" si="4"/>
        <v/>
      </c>
      <c r="N29" s="27">
        <v>0</v>
      </c>
      <c r="O29" s="27" t="str">
        <f t="shared" si="5"/>
        <v/>
      </c>
      <c r="P29" s="29">
        <v>0.17199999999999999</v>
      </c>
      <c r="Q29" s="30">
        <f t="shared" si="6"/>
        <v>7.4923199999999994</v>
      </c>
      <c r="R29" s="30" t="str">
        <f>IF(AND(TRIM(Q29)&lt;&gt;"",TRIM(F29)&lt;&gt;""),(F29*176)/Q29,"")</f>
        <v/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27">
        <f t="shared" si="7"/>
        <v>0</v>
      </c>
      <c r="AF29" s="25"/>
      <c r="AH29" s="67" t="s">
        <v>105</v>
      </c>
      <c r="AI29" s="67"/>
      <c r="AJ29" s="68"/>
      <c r="AK29" s="67"/>
      <c r="AL29" s="69"/>
      <c r="AM29" s="70"/>
    </row>
    <row r="30" spans="2:39" x14ac:dyDescent="0.2">
      <c r="B30" s="24">
        <v>1</v>
      </c>
      <c r="C30" s="25" t="s">
        <v>22</v>
      </c>
      <c r="D30" s="25" t="s">
        <v>23</v>
      </c>
      <c r="E30" s="25" t="s">
        <v>16</v>
      </c>
      <c r="F30" s="26"/>
      <c r="G30" s="27">
        <v>417</v>
      </c>
      <c r="H30" s="27" t="str">
        <f t="shared" si="0"/>
        <v/>
      </c>
      <c r="I30" s="27">
        <v>417</v>
      </c>
      <c r="J30" s="27" t="str">
        <f t="shared" si="1"/>
        <v/>
      </c>
      <c r="K30" s="28">
        <f t="shared" ca="1" si="2"/>
        <v>0</v>
      </c>
      <c r="L30" s="27" t="str">
        <f t="shared" si="3"/>
        <v/>
      </c>
      <c r="M30" s="27" t="str">
        <f t="shared" si="4"/>
        <v/>
      </c>
      <c r="N30" s="27">
        <v>417</v>
      </c>
      <c r="O30" s="27" t="str">
        <f t="shared" si="5"/>
        <v/>
      </c>
      <c r="P30" s="29">
        <v>1</v>
      </c>
      <c r="Q30" s="30">
        <f t="shared" si="6"/>
        <v>43.56</v>
      </c>
      <c r="R30" s="30" t="str">
        <f>IF(AND(TRIM(Q30)&lt;&gt;"",TRIM(F30)&lt;&gt;""),(F30*319.999849189052)/Q30,"")</f>
        <v/>
      </c>
      <c r="S30" s="31" t="str">
        <f ca="1">IF(AND(F30 &lt;&gt;"",F30&gt;0), IFERROR(VLOOKUP(F30,INDIRECT(AF30),3,TRUE),0), "")</f>
        <v/>
      </c>
      <c r="T30" s="31"/>
      <c r="U30" s="31"/>
      <c r="V30" s="31"/>
      <c r="W30" s="31"/>
      <c r="X30" s="31"/>
      <c r="Y30" s="31"/>
      <c r="Z30" s="31" t="str">
        <f>IF(AND(B30 = 1, F30 &lt;&gt;""), Z65,"")</f>
        <v/>
      </c>
      <c r="AA30" s="31" t="str">
        <f>IF(F30 = "", "", IF(AND(AND(F30 &gt;= 2, F30 &lt;= 999999), AND(SUM(F27:F28) &gt;= 6, SUM(F27:F28) &lt; 999999)), 0.05035971223,""))</f>
        <v/>
      </c>
      <c r="AB30" s="31"/>
      <c r="AC30" s="31"/>
      <c r="AD30" s="31">
        <v>1</v>
      </c>
      <c r="AE30" s="27">
        <f t="shared" si="7"/>
        <v>0</v>
      </c>
      <c r="AF30" s="25" t="s">
        <v>119</v>
      </c>
    </row>
    <row r="31" spans="2:39" x14ac:dyDescent="0.2">
      <c r="B31" s="24"/>
      <c r="C31" s="25" t="s">
        <v>123</v>
      </c>
      <c r="D31" s="25" t="s">
        <v>124</v>
      </c>
      <c r="E31" s="25" t="s">
        <v>16</v>
      </c>
      <c r="F31" s="26"/>
      <c r="G31" s="27">
        <v>447.8</v>
      </c>
      <c r="H31" s="27" t="str">
        <f t="shared" si="0"/>
        <v/>
      </c>
      <c r="I31" s="27">
        <v>447.8</v>
      </c>
      <c r="J31" s="27" t="str">
        <f t="shared" si="1"/>
        <v/>
      </c>
      <c r="K31" s="28">
        <f t="shared" si="2"/>
        <v>0</v>
      </c>
      <c r="L31" s="27" t="str">
        <f t="shared" si="3"/>
        <v/>
      </c>
      <c r="M31" s="27" t="str">
        <f t="shared" si="4"/>
        <v/>
      </c>
      <c r="N31" s="27">
        <v>0</v>
      </c>
      <c r="O31" s="27" t="str">
        <f t="shared" si="5"/>
        <v/>
      </c>
      <c r="P31" s="29">
        <v>2.33</v>
      </c>
      <c r="Q31" s="30">
        <f t="shared" si="6"/>
        <v>101.49480000000001</v>
      </c>
      <c r="R31" s="30" t="str">
        <f>IF(AND(TRIM(Q31)&lt;&gt;"",TRIM(F31)&lt;&gt;""),(F31*319.999849189052)/Q31,"")</f>
        <v/>
      </c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27">
        <f t="shared" si="7"/>
        <v>0</v>
      </c>
      <c r="AF31" s="25"/>
    </row>
    <row r="32" spans="2:39" x14ac:dyDescent="0.2">
      <c r="B32" s="24"/>
      <c r="C32" s="25" t="s">
        <v>123</v>
      </c>
      <c r="D32" s="25" t="s">
        <v>126</v>
      </c>
      <c r="E32" s="25" t="s">
        <v>16</v>
      </c>
      <c r="F32" s="26"/>
      <c r="G32" s="27">
        <v>447.8</v>
      </c>
      <c r="H32" s="27" t="str">
        <f t="shared" si="0"/>
        <v/>
      </c>
      <c r="I32" s="27">
        <v>375.49</v>
      </c>
      <c r="J32" s="27" t="str">
        <f t="shared" si="1"/>
        <v/>
      </c>
      <c r="K32" s="28">
        <f t="shared" si="2"/>
        <v>0</v>
      </c>
      <c r="L32" s="27" t="str">
        <f t="shared" si="3"/>
        <v/>
      </c>
      <c r="M32" s="27" t="str">
        <f t="shared" si="4"/>
        <v/>
      </c>
      <c r="N32" s="27">
        <v>0</v>
      </c>
      <c r="O32" s="27" t="str">
        <f t="shared" si="5"/>
        <v/>
      </c>
      <c r="P32" s="29">
        <v>2.33</v>
      </c>
      <c r="Q32" s="30">
        <f t="shared" si="6"/>
        <v>101.49480000000001</v>
      </c>
      <c r="R32" s="30" t="str">
        <f>IF(AND(TRIM(Q32)&lt;&gt;"",TRIM(F32)&lt;&gt;""),(F32*319.999849189052)/Q32,"")</f>
        <v/>
      </c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27">
        <f t="shared" si="7"/>
        <v>0</v>
      </c>
      <c r="AF32" s="25"/>
      <c r="AH32" s="71" t="s">
        <v>190</v>
      </c>
      <c r="AI32" s="71"/>
      <c r="AJ32" s="72"/>
      <c r="AK32" s="71"/>
      <c r="AL32" s="73"/>
      <c r="AM32" s="74"/>
    </row>
    <row r="33" spans="2:39" x14ac:dyDescent="0.2">
      <c r="B33" s="24"/>
      <c r="C33" s="25" t="s">
        <v>123</v>
      </c>
      <c r="D33" s="25" t="s">
        <v>128</v>
      </c>
      <c r="E33" s="25" t="s">
        <v>16</v>
      </c>
      <c r="F33" s="26"/>
      <c r="G33" s="27">
        <v>447.8</v>
      </c>
      <c r="H33" s="27" t="str">
        <f t="shared" si="0"/>
        <v/>
      </c>
      <c r="I33" s="27">
        <v>325.68</v>
      </c>
      <c r="J33" s="27" t="str">
        <f t="shared" si="1"/>
        <v/>
      </c>
      <c r="K33" s="28">
        <f t="shared" si="2"/>
        <v>0</v>
      </c>
      <c r="L33" s="27" t="str">
        <f t="shared" si="3"/>
        <v/>
      </c>
      <c r="M33" s="27" t="str">
        <f t="shared" si="4"/>
        <v/>
      </c>
      <c r="N33" s="27">
        <v>0</v>
      </c>
      <c r="O33" s="27" t="str">
        <f t="shared" si="5"/>
        <v/>
      </c>
      <c r="P33" s="29">
        <v>2.33</v>
      </c>
      <c r="Q33" s="30">
        <f t="shared" si="6"/>
        <v>101.49480000000001</v>
      </c>
      <c r="R33" s="30" t="str">
        <f>IF(AND(TRIM(Q33)&lt;&gt;"",TRIM(F33)&lt;&gt;""),(F33*319.999849189052)/Q33,"")</f>
        <v/>
      </c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27">
        <f t="shared" si="7"/>
        <v>0</v>
      </c>
      <c r="AF33" s="25"/>
      <c r="AH33" s="71"/>
      <c r="AI33" s="71"/>
      <c r="AJ33" s="72"/>
      <c r="AK33" s="71"/>
      <c r="AL33" s="73"/>
      <c r="AM33" s="74"/>
    </row>
    <row r="34" spans="2:39" x14ac:dyDescent="0.2">
      <c r="B34" s="24">
        <v>1</v>
      </c>
      <c r="C34" s="25" t="s">
        <v>25</v>
      </c>
      <c r="D34" s="25" t="s">
        <v>129</v>
      </c>
      <c r="E34" s="25" t="s">
        <v>27</v>
      </c>
      <c r="F34" s="26"/>
      <c r="G34" s="27">
        <v>175</v>
      </c>
      <c r="H34" s="27" t="str">
        <f t="shared" si="0"/>
        <v/>
      </c>
      <c r="I34" s="27">
        <v>175</v>
      </c>
      <c r="J34" s="27" t="str">
        <f t="shared" si="1"/>
        <v/>
      </c>
      <c r="K34" s="28">
        <f t="shared" ca="1" si="2"/>
        <v>0</v>
      </c>
      <c r="L34" s="27" t="str">
        <f t="shared" si="3"/>
        <v/>
      </c>
      <c r="M34" s="27" t="str">
        <f t="shared" si="4"/>
        <v/>
      </c>
      <c r="N34" s="27">
        <v>175</v>
      </c>
      <c r="O34" s="27" t="str">
        <f t="shared" si="5"/>
        <v/>
      </c>
      <c r="P34" s="29">
        <v>4</v>
      </c>
      <c r="Q34" s="30">
        <f t="shared" si="6"/>
        <v>174.24</v>
      </c>
      <c r="R34" s="30" t="str">
        <f>IF(AND(TRIM(Q34)&lt;&gt;"",TRIM(F34)&lt;&gt;""),(F34*87.9999998763089)/Q34,"")</f>
        <v/>
      </c>
      <c r="S34" s="31" t="str">
        <f ca="1">IF(AND(F34 &lt;&gt;"",F34&gt;0), IFERROR(VLOOKUP(F34,INDIRECT(AF34),3,TRUE),0), "")</f>
        <v/>
      </c>
      <c r="T34" s="31"/>
      <c r="U34" s="31"/>
      <c r="V34" s="31"/>
      <c r="W34" s="31"/>
      <c r="X34" s="31"/>
      <c r="Y34" s="31"/>
      <c r="Z34" s="31" t="str">
        <f>IF(AND(B34 = 1, F34 &lt;&gt;""), Z65,"")</f>
        <v/>
      </c>
      <c r="AA34" s="31" t="str">
        <f>IF(F34 = "", "", IF(AND(AND(F34 &gt;= 24, F34 &lt;= 999999), AND(SUM(F21:F21) &gt;= 4, SUM(F21:F21) &lt; 999999)), 0.025,""))</f>
        <v/>
      </c>
      <c r="AB34" s="31"/>
      <c r="AC34" s="31"/>
      <c r="AD34" s="31">
        <v>1</v>
      </c>
      <c r="AE34" s="27">
        <f t="shared" si="7"/>
        <v>0</v>
      </c>
      <c r="AF34" s="25" t="s">
        <v>130</v>
      </c>
      <c r="AH34" s="75"/>
      <c r="AI34" s="75"/>
      <c r="AJ34" s="76"/>
      <c r="AK34" s="75"/>
      <c r="AL34" s="77"/>
      <c r="AM34" s="78"/>
    </row>
    <row r="35" spans="2:39" x14ac:dyDescent="0.2">
      <c r="B35" s="24">
        <v>1</v>
      </c>
      <c r="C35" s="25" t="s">
        <v>25</v>
      </c>
      <c r="D35" s="25" t="s">
        <v>131</v>
      </c>
      <c r="E35" s="25" t="s">
        <v>27</v>
      </c>
      <c r="F35" s="26"/>
      <c r="G35" s="27">
        <v>175</v>
      </c>
      <c r="H35" s="27" t="str">
        <f t="shared" si="0"/>
        <v/>
      </c>
      <c r="I35" s="27">
        <v>160</v>
      </c>
      <c r="J35" s="27" t="str">
        <f t="shared" si="1"/>
        <v/>
      </c>
      <c r="K35" s="28">
        <f t="shared" ca="1" si="2"/>
        <v>0</v>
      </c>
      <c r="L35" s="27" t="str">
        <f t="shared" si="3"/>
        <v/>
      </c>
      <c r="M35" s="27" t="str">
        <f t="shared" si="4"/>
        <v/>
      </c>
      <c r="N35" s="27">
        <v>160</v>
      </c>
      <c r="O35" s="27" t="str">
        <f t="shared" si="5"/>
        <v/>
      </c>
      <c r="P35" s="29">
        <v>4</v>
      </c>
      <c r="Q35" s="30">
        <f t="shared" si="6"/>
        <v>174.24</v>
      </c>
      <c r="R35" s="30" t="str">
        <f>IF(AND(TRIM(Q35)&lt;&gt;"",TRIM(F35)&lt;&gt;""),(F35*87.9999998763089)/Q35,"")</f>
        <v/>
      </c>
      <c r="S35" s="31" t="str">
        <f ca="1">IF(AND(F35 &lt;&gt;"",F35&gt;0), IFERROR(VLOOKUP(F35,INDIRECT(AF35),3,TRUE),0), "")</f>
        <v/>
      </c>
      <c r="T35" s="31"/>
      <c r="U35" s="31"/>
      <c r="V35" s="31"/>
      <c r="W35" s="31"/>
      <c r="X35" s="31"/>
      <c r="Y35" s="31"/>
      <c r="Z35" s="31" t="str">
        <f>IF(AND(B35 = 1, F35 &lt;&gt;""), Z65,"")</f>
        <v/>
      </c>
      <c r="AA35" s="31" t="str">
        <f>IF(F35 = "", "", IF(AND(AND(F35 &gt;= 24, F35 &lt;= 999999), AND(SUM(F21:F21) &gt;= 4, SUM(F21:F21) &lt; 999999)), 0.025,""))</f>
        <v/>
      </c>
      <c r="AB35" s="31"/>
      <c r="AC35" s="31"/>
      <c r="AD35" s="31">
        <v>1</v>
      </c>
      <c r="AE35" s="27">
        <f t="shared" si="7"/>
        <v>0</v>
      </c>
      <c r="AF35" s="25" t="s">
        <v>130</v>
      </c>
      <c r="AH35" s="75"/>
      <c r="AI35" s="75"/>
      <c r="AJ35" s="76"/>
      <c r="AK35" s="75"/>
      <c r="AL35" s="77"/>
      <c r="AM35" s="78"/>
    </row>
    <row r="36" spans="2:39" x14ac:dyDescent="0.2">
      <c r="B36" s="24"/>
      <c r="C36" s="25" t="s">
        <v>143</v>
      </c>
      <c r="D36" s="25" t="s">
        <v>144</v>
      </c>
      <c r="E36" s="25" t="s">
        <v>16</v>
      </c>
      <c r="F36" s="26"/>
      <c r="G36" s="27">
        <v>850</v>
      </c>
      <c r="H36" s="27" t="str">
        <f t="shared" si="0"/>
        <v/>
      </c>
      <c r="I36" s="27">
        <v>850</v>
      </c>
      <c r="J36" s="27" t="str">
        <f t="shared" si="1"/>
        <v/>
      </c>
      <c r="K36" s="28">
        <f t="shared" si="2"/>
        <v>0</v>
      </c>
      <c r="L36" s="27" t="str">
        <f t="shared" si="3"/>
        <v/>
      </c>
      <c r="M36" s="27" t="str">
        <f t="shared" si="4"/>
        <v/>
      </c>
      <c r="N36" s="27">
        <v>0</v>
      </c>
      <c r="O36" s="27" t="str">
        <f t="shared" si="5"/>
        <v/>
      </c>
      <c r="P36" s="29">
        <v>2</v>
      </c>
      <c r="Q36" s="30">
        <f t="shared" si="6"/>
        <v>87.12</v>
      </c>
      <c r="R36" s="30" t="str">
        <f>IF(AND(TRIM(Q36)&lt;&gt;"",TRIM(F36)&lt;&gt;""),(F36*319.999849189052)/Q36,"")</f>
        <v/>
      </c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27">
        <f t="shared" si="7"/>
        <v>0</v>
      </c>
      <c r="AF36" s="25"/>
      <c r="AH36" s="63"/>
      <c r="AI36" s="63"/>
      <c r="AJ36" s="64"/>
      <c r="AK36" s="63"/>
      <c r="AL36" s="65"/>
      <c r="AM36" s="66"/>
    </row>
    <row r="37" spans="2:39" ht="27" x14ac:dyDescent="0.2">
      <c r="B37" s="24"/>
      <c r="C37" s="25" t="s">
        <v>143</v>
      </c>
      <c r="D37" s="25" t="s">
        <v>145</v>
      </c>
      <c r="E37" s="25" t="s">
        <v>16</v>
      </c>
      <c r="F37" s="26"/>
      <c r="G37" s="27">
        <v>850</v>
      </c>
      <c r="H37" s="27" t="str">
        <f t="shared" si="0"/>
        <v/>
      </c>
      <c r="I37" s="27">
        <v>775</v>
      </c>
      <c r="J37" s="27" t="str">
        <f t="shared" si="1"/>
        <v/>
      </c>
      <c r="K37" s="28">
        <f t="shared" si="2"/>
        <v>0</v>
      </c>
      <c r="L37" s="27" t="str">
        <f t="shared" si="3"/>
        <v/>
      </c>
      <c r="M37" s="27" t="str">
        <f t="shared" si="4"/>
        <v/>
      </c>
      <c r="N37" s="27">
        <v>0</v>
      </c>
      <c r="O37" s="27" t="str">
        <f t="shared" si="5"/>
        <v/>
      </c>
      <c r="P37" s="29">
        <v>2</v>
      </c>
      <c r="Q37" s="30">
        <f t="shared" si="6"/>
        <v>87.12</v>
      </c>
      <c r="R37" s="30" t="str">
        <f>IF(AND(TRIM(Q37)&lt;&gt;"",TRIM(F37)&lt;&gt;""),(F37*319.999849189052)/Q37,"")</f>
        <v/>
      </c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27">
        <f t="shared" si="7"/>
        <v>0</v>
      </c>
      <c r="AF37" s="25"/>
      <c r="AH37" s="32" t="s">
        <v>87</v>
      </c>
      <c r="AI37" s="33" t="s">
        <v>50</v>
      </c>
      <c r="AJ37" s="34" t="s">
        <v>51</v>
      </c>
      <c r="AK37" s="33" t="s">
        <v>88</v>
      </c>
      <c r="AL37" s="35" t="s">
        <v>60</v>
      </c>
      <c r="AM37" s="36" t="s">
        <v>89</v>
      </c>
    </row>
    <row r="38" spans="2:39" x14ac:dyDescent="0.2">
      <c r="B38" s="90" t="s">
        <v>157</v>
      </c>
      <c r="C38" s="90"/>
      <c r="D38" s="90"/>
      <c r="E38" s="90"/>
      <c r="F38" s="91"/>
      <c r="G38" s="92"/>
      <c r="H38" s="92"/>
      <c r="I38" s="92"/>
      <c r="J38" s="92"/>
      <c r="K38" s="93"/>
      <c r="L38" s="92"/>
      <c r="M38" s="92"/>
      <c r="N38" s="92"/>
      <c r="O38" s="92"/>
      <c r="P38" s="94"/>
      <c r="Q38" s="95"/>
      <c r="R38" s="95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2"/>
      <c r="AF38" s="21"/>
      <c r="AH38" s="37" t="s">
        <v>170</v>
      </c>
      <c r="AI38" s="38" t="s">
        <v>16</v>
      </c>
      <c r="AJ38" s="39">
        <v>4</v>
      </c>
      <c r="AK38" s="24" t="s">
        <v>171</v>
      </c>
      <c r="AL38" s="40">
        <v>2</v>
      </c>
      <c r="AM38" s="30">
        <v>14.692371404456001</v>
      </c>
    </row>
    <row r="39" spans="2:39" x14ac:dyDescent="0.2">
      <c r="B39" s="87" t="s">
        <v>49</v>
      </c>
      <c r="C39" s="97" t="s">
        <v>6</v>
      </c>
      <c r="D39" s="97" t="s">
        <v>7</v>
      </c>
      <c r="E39" s="97" t="s">
        <v>50</v>
      </c>
      <c r="F39" s="142" t="s">
        <v>51</v>
      </c>
      <c r="G39" s="84" t="s">
        <v>52</v>
      </c>
      <c r="H39" s="84" t="s">
        <v>53</v>
      </c>
      <c r="I39" s="101" t="s">
        <v>54</v>
      </c>
      <c r="J39" s="101" t="s">
        <v>55</v>
      </c>
      <c r="K39" s="104" t="s">
        <v>11</v>
      </c>
      <c r="L39" s="84" t="s">
        <v>56</v>
      </c>
      <c r="M39" s="101" t="s">
        <v>57</v>
      </c>
      <c r="N39" s="84" t="s">
        <v>58</v>
      </c>
      <c r="O39" s="84" t="s">
        <v>59</v>
      </c>
      <c r="P39" s="81" t="s">
        <v>60</v>
      </c>
      <c r="Q39" s="110" t="s">
        <v>61</v>
      </c>
      <c r="R39" s="110" t="s">
        <v>62</v>
      </c>
      <c r="S39" s="81" t="s">
        <v>63</v>
      </c>
      <c r="T39" s="81" t="s">
        <v>64</v>
      </c>
      <c r="U39" s="81" t="s">
        <v>65</v>
      </c>
      <c r="V39" s="81" t="s">
        <v>66</v>
      </c>
      <c r="W39" s="81" t="s">
        <v>67</v>
      </c>
      <c r="X39" s="81" t="s">
        <v>68</v>
      </c>
      <c r="Y39" s="81" t="s">
        <v>69</v>
      </c>
      <c r="Z39" s="81" t="s">
        <v>2</v>
      </c>
      <c r="AA39" s="81" t="s">
        <v>70</v>
      </c>
      <c r="AB39" s="81" t="s">
        <v>71</v>
      </c>
      <c r="AC39" s="81" t="s">
        <v>72</v>
      </c>
      <c r="AD39" s="81" t="s">
        <v>73</v>
      </c>
      <c r="AE39" s="84" t="s">
        <v>49</v>
      </c>
      <c r="AF39" s="87" t="s">
        <v>74</v>
      </c>
      <c r="AH39" s="37" t="s">
        <v>208</v>
      </c>
      <c r="AI39" s="38" t="s">
        <v>27</v>
      </c>
      <c r="AJ39" s="39">
        <v>24</v>
      </c>
      <c r="AK39" s="24" t="s">
        <v>175</v>
      </c>
      <c r="AL39" s="40">
        <v>4</v>
      </c>
      <c r="AM39" s="30">
        <v>12.1212121041748</v>
      </c>
    </row>
    <row r="40" spans="2:39" ht="27" x14ac:dyDescent="0.2">
      <c r="B40" s="88"/>
      <c r="C40" s="88"/>
      <c r="D40" s="88"/>
      <c r="E40" s="88"/>
      <c r="F40" s="99"/>
      <c r="G40" s="85"/>
      <c r="H40" s="85"/>
      <c r="I40" s="102"/>
      <c r="J40" s="85"/>
      <c r="K40" s="105"/>
      <c r="L40" s="85"/>
      <c r="M40" s="85"/>
      <c r="N40" s="85"/>
      <c r="O40" s="85"/>
      <c r="P40" s="108"/>
      <c r="Q40" s="111"/>
      <c r="R40" s="111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5"/>
      <c r="AF40" s="88"/>
      <c r="AH40" s="32" t="s">
        <v>102</v>
      </c>
      <c r="AI40" s="33" t="s">
        <v>50</v>
      </c>
      <c r="AJ40" s="34" t="s">
        <v>51</v>
      </c>
      <c r="AK40" s="33" t="s">
        <v>88</v>
      </c>
      <c r="AL40" s="35" t="s">
        <v>60</v>
      </c>
      <c r="AM40" s="36" t="s">
        <v>89</v>
      </c>
    </row>
    <row r="41" spans="2:39" x14ac:dyDescent="0.2">
      <c r="B41" s="96"/>
      <c r="C41" s="89"/>
      <c r="D41" s="89"/>
      <c r="E41" s="89"/>
      <c r="F41" s="100"/>
      <c r="G41" s="86"/>
      <c r="H41" s="86"/>
      <c r="I41" s="103"/>
      <c r="J41" s="86"/>
      <c r="K41" s="106"/>
      <c r="L41" s="86"/>
      <c r="M41" s="86"/>
      <c r="N41" s="86"/>
      <c r="O41" s="86"/>
      <c r="P41" s="109"/>
      <c r="Q41" s="112"/>
      <c r="R41" s="112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6"/>
      <c r="AF41" s="89"/>
      <c r="AH41" s="67" t="s">
        <v>105</v>
      </c>
      <c r="AI41" s="67"/>
      <c r="AJ41" s="68"/>
      <c r="AK41" s="67"/>
      <c r="AL41" s="69"/>
      <c r="AM41" s="70"/>
    </row>
    <row r="42" spans="2:39" x14ac:dyDescent="0.2">
      <c r="B42" s="24"/>
      <c r="C42" s="25" t="s">
        <v>159</v>
      </c>
      <c r="D42" s="25" t="s">
        <v>160</v>
      </c>
      <c r="E42" s="25" t="s">
        <v>16</v>
      </c>
      <c r="F42" s="26"/>
      <c r="G42" s="52">
        <v>0</v>
      </c>
      <c r="H42" s="52" t="str">
        <f t="shared" ref="H42:H64" si="8">IF(F42*I42= 0,"",F42*I42)</f>
        <v/>
      </c>
      <c r="I42" s="41"/>
      <c r="J42" s="27" t="str">
        <f t="shared" ref="J42:J64" si="9">IF(F42*I42= 0,"",F42*I42)</f>
        <v/>
      </c>
      <c r="K42" s="28">
        <f t="shared" ref="K42:K64" si="10">IF(AND(AD42 &lt;&gt; "", SUM(S42:AC42) &lt;= AD42), SUM(S42:AC42), AD42)</f>
        <v>0</v>
      </c>
      <c r="L42" s="27" t="str">
        <f t="shared" ref="L42:L64" si="11">IF(F42 ="","",F42*K42*N42)</f>
        <v/>
      </c>
      <c r="M42" s="27" t="str">
        <f t="shared" ref="M42:M64" si="12">IF(AND(AND(F42&lt;&gt;"",F42&gt;0), AND(I42&lt;&gt;"",I42&gt;0)),((J42/F42)-(L42/F42)),"")</f>
        <v/>
      </c>
      <c r="N42" s="27">
        <v>0</v>
      </c>
      <c r="O42" s="27" t="str">
        <f t="shared" ref="O42:O64" si="13">IF(AND(AND(F42&lt;&gt;"",F42&gt;0),AND(I42&lt;&gt;"",I42&gt;0)), F42*M42,"")</f>
        <v/>
      </c>
      <c r="P42" s="29">
        <v>4</v>
      </c>
      <c r="Q42" s="30">
        <f t="shared" ref="Q42:Q64" si="14">P42*43.56</f>
        <v>174.24</v>
      </c>
      <c r="R42" s="30" t="str">
        <f>IF(AND(TRIM(Q42)&lt;&gt;"",TRIM(F42)&lt;&gt;""),(F42*319.999849189052)/Q42,"")</f>
        <v/>
      </c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27">
        <f t="shared" ref="AE42:AE64" si="15">IF(F42 = "",0,N42*F42)</f>
        <v>0</v>
      </c>
      <c r="AF42" s="25"/>
    </row>
    <row r="43" spans="2:39" x14ac:dyDescent="0.2">
      <c r="B43" s="24"/>
      <c r="C43" s="25" t="s">
        <v>161</v>
      </c>
      <c r="D43" s="25" t="s">
        <v>162</v>
      </c>
      <c r="E43" s="25" t="s">
        <v>134</v>
      </c>
      <c r="F43" s="26"/>
      <c r="G43" s="52">
        <v>0</v>
      </c>
      <c r="H43" s="52" t="str">
        <f t="shared" si="8"/>
        <v/>
      </c>
      <c r="I43" s="41"/>
      <c r="J43" s="27" t="str">
        <f t="shared" si="9"/>
        <v/>
      </c>
      <c r="K43" s="28">
        <f t="shared" si="10"/>
        <v>0</v>
      </c>
      <c r="L43" s="27" t="str">
        <f t="shared" si="11"/>
        <v/>
      </c>
      <c r="M43" s="27" t="str">
        <f t="shared" si="12"/>
        <v/>
      </c>
      <c r="N43" s="27">
        <v>0</v>
      </c>
      <c r="O43" s="27" t="str">
        <f t="shared" si="13"/>
        <v/>
      </c>
      <c r="P43" s="29">
        <v>0.5</v>
      </c>
      <c r="Q43" s="30">
        <f t="shared" si="14"/>
        <v>21.78</v>
      </c>
      <c r="R43" s="30" t="str">
        <f>IF(AND(TRIM(Q43)&lt;&gt;"",TRIM(F43)&lt;&gt;""),(F43*127.999939675621)/Q43,"")</f>
        <v/>
      </c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27">
        <f t="shared" si="15"/>
        <v>0</v>
      </c>
      <c r="AF43" s="25"/>
    </row>
    <row r="44" spans="2:39" x14ac:dyDescent="0.2">
      <c r="B44" s="24"/>
      <c r="C44" s="25" t="s">
        <v>163</v>
      </c>
      <c r="D44" s="25" t="s">
        <v>162</v>
      </c>
      <c r="E44" s="25" t="s">
        <v>164</v>
      </c>
      <c r="F44" s="26"/>
      <c r="G44" s="52">
        <v>0</v>
      </c>
      <c r="H44" s="52" t="str">
        <f t="shared" si="8"/>
        <v/>
      </c>
      <c r="I44" s="41"/>
      <c r="J44" s="27" t="str">
        <f t="shared" si="9"/>
        <v/>
      </c>
      <c r="K44" s="28">
        <f t="shared" si="10"/>
        <v>0</v>
      </c>
      <c r="L44" s="27" t="str">
        <f t="shared" si="11"/>
        <v/>
      </c>
      <c r="M44" s="27" t="str">
        <f t="shared" si="12"/>
        <v/>
      </c>
      <c r="N44" s="27">
        <v>0</v>
      </c>
      <c r="O44" s="27" t="str">
        <f t="shared" si="13"/>
        <v/>
      </c>
      <c r="P44" s="29">
        <v>0.5</v>
      </c>
      <c r="Q44" s="30">
        <f t="shared" si="14"/>
        <v>21.78</v>
      </c>
      <c r="R44" s="30" t="str">
        <f>IF(AND(TRIM(Q44)&lt;&gt;"",TRIM(F44)&lt;&gt;""),(F44*15.9999999999797)/Q44,"")</f>
        <v/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27">
        <f t="shared" si="15"/>
        <v>0</v>
      </c>
      <c r="AF44" s="25"/>
      <c r="AH44" s="71" t="s">
        <v>222</v>
      </c>
      <c r="AI44" s="71"/>
      <c r="AJ44" s="72"/>
      <c r="AK44" s="71"/>
      <c r="AL44" s="73"/>
      <c r="AM44" s="74"/>
    </row>
    <row r="45" spans="2:39" x14ac:dyDescent="0.2">
      <c r="B45" s="24"/>
      <c r="C45" s="25" t="s">
        <v>165</v>
      </c>
      <c r="D45" s="25" t="s">
        <v>166</v>
      </c>
      <c r="E45" s="25" t="s">
        <v>167</v>
      </c>
      <c r="F45" s="26"/>
      <c r="G45" s="52">
        <v>0</v>
      </c>
      <c r="H45" s="52" t="str">
        <f t="shared" si="8"/>
        <v/>
      </c>
      <c r="I45" s="41"/>
      <c r="J45" s="27" t="str">
        <f t="shared" si="9"/>
        <v/>
      </c>
      <c r="K45" s="28">
        <f t="shared" si="10"/>
        <v>0</v>
      </c>
      <c r="L45" s="27" t="str">
        <f t="shared" si="11"/>
        <v/>
      </c>
      <c r="M45" s="27" t="str">
        <f t="shared" si="12"/>
        <v/>
      </c>
      <c r="N45" s="27">
        <v>0</v>
      </c>
      <c r="O45" s="27" t="str">
        <f t="shared" si="13"/>
        <v/>
      </c>
      <c r="P45" s="29">
        <v>1.2</v>
      </c>
      <c r="Q45" s="30">
        <f t="shared" si="14"/>
        <v>52.271999999999998</v>
      </c>
      <c r="R45" s="30" t="str">
        <f>IF(AND(TRIM(Q45)&lt;&gt;"",TRIM(F45)&lt;&gt;""),(F45*31.9999999550214)/Q45,"")</f>
        <v/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27">
        <f t="shared" si="15"/>
        <v>0</v>
      </c>
      <c r="AF45" s="25"/>
      <c r="AH45" s="71"/>
      <c r="AI45" s="71"/>
      <c r="AJ45" s="72"/>
      <c r="AK45" s="71"/>
      <c r="AL45" s="73"/>
      <c r="AM45" s="74"/>
    </row>
    <row r="46" spans="2:39" x14ac:dyDescent="0.2">
      <c r="B46" s="24"/>
      <c r="C46" s="25" t="s">
        <v>168</v>
      </c>
      <c r="D46" s="25" t="s">
        <v>169</v>
      </c>
      <c r="E46" s="25" t="s">
        <v>16</v>
      </c>
      <c r="F46" s="26"/>
      <c r="G46" s="52">
        <v>0</v>
      </c>
      <c r="H46" s="52" t="str">
        <f t="shared" si="8"/>
        <v/>
      </c>
      <c r="I46" s="41"/>
      <c r="J46" s="27" t="str">
        <f t="shared" si="9"/>
        <v/>
      </c>
      <c r="K46" s="28">
        <f t="shared" si="10"/>
        <v>0</v>
      </c>
      <c r="L46" s="27" t="str">
        <f t="shared" si="11"/>
        <v/>
      </c>
      <c r="M46" s="27" t="str">
        <f t="shared" si="12"/>
        <v/>
      </c>
      <c r="N46" s="27">
        <v>0</v>
      </c>
      <c r="O46" s="27" t="str">
        <f t="shared" si="13"/>
        <v/>
      </c>
      <c r="P46" s="29">
        <v>4</v>
      </c>
      <c r="Q46" s="30">
        <f t="shared" si="14"/>
        <v>174.24</v>
      </c>
      <c r="R46" s="30" t="str">
        <f>IF(AND(TRIM(Q46)&lt;&gt;"",TRIM(F46)&lt;&gt;""),(F46*319.999849189052)/Q46,"")</f>
        <v/>
      </c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27">
        <f t="shared" si="15"/>
        <v>0</v>
      </c>
      <c r="AF46" s="25"/>
      <c r="AH46" s="75"/>
      <c r="AI46" s="75"/>
      <c r="AJ46" s="76"/>
      <c r="AK46" s="75"/>
      <c r="AL46" s="77"/>
      <c r="AM46" s="78"/>
    </row>
    <row r="47" spans="2:39" x14ac:dyDescent="0.2">
      <c r="B47" s="24"/>
      <c r="C47" s="25" t="s">
        <v>172</v>
      </c>
      <c r="D47" s="25" t="s">
        <v>173</v>
      </c>
      <c r="E47" s="25" t="s">
        <v>16</v>
      </c>
      <c r="F47" s="26"/>
      <c r="G47" s="52">
        <v>0</v>
      </c>
      <c r="H47" s="52" t="str">
        <f t="shared" si="8"/>
        <v/>
      </c>
      <c r="I47" s="41"/>
      <c r="J47" s="27" t="str">
        <f t="shared" si="9"/>
        <v/>
      </c>
      <c r="K47" s="28">
        <f t="shared" si="10"/>
        <v>0</v>
      </c>
      <c r="L47" s="27" t="str">
        <f t="shared" si="11"/>
        <v/>
      </c>
      <c r="M47" s="27" t="str">
        <f t="shared" si="12"/>
        <v/>
      </c>
      <c r="N47" s="27">
        <v>0</v>
      </c>
      <c r="O47" s="27" t="str">
        <f t="shared" si="13"/>
        <v/>
      </c>
      <c r="P47" s="29">
        <v>3</v>
      </c>
      <c r="Q47" s="30">
        <f t="shared" si="14"/>
        <v>130.68</v>
      </c>
      <c r="R47" s="30" t="str">
        <f>IF(AND(TRIM(Q47)&lt;&gt;"",TRIM(F47)&lt;&gt;""),(F47*319.999849189052)/Q47,"")</f>
        <v/>
      </c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27">
        <f t="shared" si="15"/>
        <v>0</v>
      </c>
      <c r="AF47" s="25"/>
      <c r="AH47" s="75"/>
      <c r="AI47" s="75"/>
      <c r="AJ47" s="76"/>
      <c r="AK47" s="75"/>
      <c r="AL47" s="77"/>
      <c r="AM47" s="78"/>
    </row>
    <row r="48" spans="2:39" x14ac:dyDescent="0.2">
      <c r="B48" s="24"/>
      <c r="C48" s="25" t="s">
        <v>176</v>
      </c>
      <c r="D48" s="25" t="s">
        <v>177</v>
      </c>
      <c r="E48" s="25" t="s">
        <v>178</v>
      </c>
      <c r="F48" s="26"/>
      <c r="G48" s="52">
        <v>0</v>
      </c>
      <c r="H48" s="52" t="str">
        <f t="shared" si="8"/>
        <v/>
      </c>
      <c r="I48" s="41"/>
      <c r="J48" s="27" t="str">
        <f t="shared" si="9"/>
        <v/>
      </c>
      <c r="K48" s="28">
        <f t="shared" si="10"/>
        <v>0</v>
      </c>
      <c r="L48" s="27" t="str">
        <f t="shared" si="11"/>
        <v/>
      </c>
      <c r="M48" s="27" t="str">
        <f t="shared" si="12"/>
        <v/>
      </c>
      <c r="N48" s="27">
        <v>0</v>
      </c>
      <c r="O48" s="27" t="str">
        <f t="shared" si="13"/>
        <v/>
      </c>
      <c r="P48" s="29">
        <v>4</v>
      </c>
      <c r="Q48" s="30">
        <f t="shared" si="14"/>
        <v>174.24</v>
      </c>
      <c r="R48" s="30" t="str">
        <f>IF(AND(TRIM(Q48)&lt;&gt;"",TRIM(F48)&lt;&gt;""),(F48*87.9999998763089)/Q48,"")</f>
        <v/>
      </c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27">
        <f t="shared" si="15"/>
        <v>0</v>
      </c>
      <c r="AF48" s="25"/>
      <c r="AH48" s="63"/>
      <c r="AI48" s="63"/>
      <c r="AJ48" s="64"/>
      <c r="AK48" s="63"/>
      <c r="AL48" s="65"/>
      <c r="AM48" s="66"/>
    </row>
    <row r="49" spans="2:39" ht="27" x14ac:dyDescent="0.2">
      <c r="B49" s="24"/>
      <c r="C49" s="25" t="s">
        <v>179</v>
      </c>
      <c r="D49" s="25" t="s">
        <v>180</v>
      </c>
      <c r="E49" s="25" t="s">
        <v>181</v>
      </c>
      <c r="F49" s="26"/>
      <c r="G49" s="52">
        <v>0</v>
      </c>
      <c r="H49" s="52" t="str">
        <f t="shared" si="8"/>
        <v/>
      </c>
      <c r="I49" s="41"/>
      <c r="J49" s="27" t="str">
        <f t="shared" si="9"/>
        <v/>
      </c>
      <c r="K49" s="28">
        <f t="shared" si="10"/>
        <v>0</v>
      </c>
      <c r="L49" s="27" t="str">
        <f t="shared" si="11"/>
        <v/>
      </c>
      <c r="M49" s="27" t="str">
        <f t="shared" si="12"/>
        <v/>
      </c>
      <c r="N49" s="27">
        <v>0</v>
      </c>
      <c r="O49" s="27" t="str">
        <f t="shared" si="13"/>
        <v/>
      </c>
      <c r="P49" s="29">
        <v>0.25</v>
      </c>
      <c r="Q49" s="30">
        <f t="shared" si="14"/>
        <v>10.89</v>
      </c>
      <c r="R49" s="30" t="str">
        <f>IF(AND(TRIM(Q49)&lt;&gt;"",TRIM(F49)&lt;&gt;""),(F49*15.9999999775107)/Q49,"")</f>
        <v/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27">
        <f t="shared" si="15"/>
        <v>0</v>
      </c>
      <c r="AF49" s="25"/>
      <c r="AH49" s="32" t="s">
        <v>87</v>
      </c>
      <c r="AI49" s="33" t="s">
        <v>50</v>
      </c>
      <c r="AJ49" s="34" t="s">
        <v>51</v>
      </c>
      <c r="AK49" s="33" t="s">
        <v>88</v>
      </c>
      <c r="AL49" s="35" t="s">
        <v>60</v>
      </c>
      <c r="AM49" s="36" t="s">
        <v>89</v>
      </c>
    </row>
    <row r="50" spans="2:39" x14ac:dyDescent="0.2">
      <c r="B50" s="24"/>
      <c r="C50" s="25" t="s">
        <v>182</v>
      </c>
      <c r="D50" s="25" t="s">
        <v>183</v>
      </c>
      <c r="E50" s="25" t="s">
        <v>184</v>
      </c>
      <c r="F50" s="26"/>
      <c r="G50" s="52">
        <v>0</v>
      </c>
      <c r="H50" s="52" t="str">
        <f t="shared" si="8"/>
        <v/>
      </c>
      <c r="I50" s="41"/>
      <c r="J50" s="27" t="str">
        <f t="shared" si="9"/>
        <v/>
      </c>
      <c r="K50" s="28">
        <f t="shared" si="10"/>
        <v>0</v>
      </c>
      <c r="L50" s="27" t="str">
        <f t="shared" si="11"/>
        <v/>
      </c>
      <c r="M50" s="27" t="str">
        <f t="shared" si="12"/>
        <v/>
      </c>
      <c r="N50" s="27">
        <v>0</v>
      </c>
      <c r="O50" s="27" t="str">
        <f t="shared" si="13"/>
        <v/>
      </c>
      <c r="P50" s="29"/>
      <c r="Q50" s="30">
        <f t="shared" si="14"/>
        <v>0</v>
      </c>
      <c r="R50" s="30" t="str">
        <f>IF(AND(TRIM(Q50)&lt;&gt;"",TRIM(F50)&lt;&gt;""),(F50*0)/Q50,"")</f>
        <v/>
      </c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27">
        <f t="shared" si="15"/>
        <v>0</v>
      </c>
      <c r="AF50" s="25"/>
      <c r="AH50" s="37" t="s">
        <v>232</v>
      </c>
      <c r="AI50" s="38" t="s">
        <v>16</v>
      </c>
      <c r="AJ50" s="39">
        <v>6</v>
      </c>
      <c r="AK50" s="24" t="s">
        <v>233</v>
      </c>
      <c r="AL50" s="40">
        <v>4</v>
      </c>
      <c r="AM50" s="30">
        <v>11.019278553342</v>
      </c>
    </row>
    <row r="51" spans="2:39" x14ac:dyDescent="0.2">
      <c r="B51" s="24"/>
      <c r="C51" s="25" t="s">
        <v>185</v>
      </c>
      <c r="D51" s="25" t="s">
        <v>186</v>
      </c>
      <c r="E51" s="25" t="s">
        <v>16</v>
      </c>
      <c r="F51" s="26"/>
      <c r="G51" s="52">
        <v>0</v>
      </c>
      <c r="H51" s="52" t="str">
        <f t="shared" si="8"/>
        <v/>
      </c>
      <c r="I51" s="41"/>
      <c r="J51" s="27" t="str">
        <f t="shared" si="9"/>
        <v/>
      </c>
      <c r="K51" s="28">
        <f t="shared" si="10"/>
        <v>0</v>
      </c>
      <c r="L51" s="27" t="str">
        <f t="shared" si="11"/>
        <v/>
      </c>
      <c r="M51" s="27" t="str">
        <f t="shared" si="12"/>
        <v/>
      </c>
      <c r="N51" s="27">
        <v>0</v>
      </c>
      <c r="O51" s="27" t="str">
        <f t="shared" si="13"/>
        <v/>
      </c>
      <c r="P51" s="29">
        <v>5.75</v>
      </c>
      <c r="Q51" s="30">
        <f t="shared" si="14"/>
        <v>250.47000000000003</v>
      </c>
      <c r="R51" s="30" t="str">
        <f>IF(AND(TRIM(Q51)&lt;&gt;"",TRIM(F51)&lt;&gt;""),(F51*319.999849189052)/Q51,"")</f>
        <v/>
      </c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27">
        <f t="shared" si="15"/>
        <v>0</v>
      </c>
      <c r="AF51" s="25"/>
      <c r="AH51" s="37" t="s">
        <v>234</v>
      </c>
      <c r="AI51" s="38" t="s">
        <v>16</v>
      </c>
      <c r="AJ51" s="39">
        <v>2</v>
      </c>
      <c r="AK51" s="24" t="s">
        <v>235</v>
      </c>
      <c r="AL51" s="40">
        <v>1</v>
      </c>
      <c r="AM51" s="30">
        <v>14.692371404456001</v>
      </c>
    </row>
    <row r="52" spans="2:39" ht="27" x14ac:dyDescent="0.2">
      <c r="B52" s="24"/>
      <c r="C52" s="25" t="s">
        <v>187</v>
      </c>
      <c r="D52" s="25" t="s">
        <v>188</v>
      </c>
      <c r="E52" s="25" t="s">
        <v>189</v>
      </c>
      <c r="F52" s="26"/>
      <c r="G52" s="52">
        <v>0</v>
      </c>
      <c r="H52" s="52" t="str">
        <f t="shared" si="8"/>
        <v/>
      </c>
      <c r="I52" s="41"/>
      <c r="J52" s="27" t="str">
        <f t="shared" si="9"/>
        <v/>
      </c>
      <c r="K52" s="28">
        <f t="shared" si="10"/>
        <v>0</v>
      </c>
      <c r="L52" s="27" t="str">
        <f t="shared" si="11"/>
        <v/>
      </c>
      <c r="M52" s="27" t="str">
        <f t="shared" si="12"/>
        <v/>
      </c>
      <c r="N52" s="27">
        <v>0</v>
      </c>
      <c r="O52" s="27" t="str">
        <f t="shared" si="13"/>
        <v/>
      </c>
      <c r="P52" s="29">
        <v>3</v>
      </c>
      <c r="Q52" s="30">
        <f t="shared" si="14"/>
        <v>130.68</v>
      </c>
      <c r="R52" s="30" t="str">
        <f>IF(AND(TRIM(Q52)&lt;&gt;"",TRIM(F52)&lt;&gt;""),(F52*30)/Q52,"")</f>
        <v/>
      </c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27">
        <f t="shared" si="15"/>
        <v>0</v>
      </c>
      <c r="AF52" s="25"/>
      <c r="AH52" s="32" t="s">
        <v>102</v>
      </c>
      <c r="AI52" s="33" t="s">
        <v>50</v>
      </c>
      <c r="AJ52" s="34" t="s">
        <v>51</v>
      </c>
      <c r="AK52" s="33" t="s">
        <v>88</v>
      </c>
      <c r="AL52" s="35" t="s">
        <v>60</v>
      </c>
      <c r="AM52" s="36" t="s">
        <v>89</v>
      </c>
    </row>
    <row r="53" spans="2:39" x14ac:dyDescent="0.2">
      <c r="B53" s="24"/>
      <c r="C53" s="25" t="s">
        <v>194</v>
      </c>
      <c r="D53" s="25" t="s">
        <v>195</v>
      </c>
      <c r="E53" s="25" t="s">
        <v>189</v>
      </c>
      <c r="F53" s="26"/>
      <c r="G53" s="52">
        <v>0</v>
      </c>
      <c r="H53" s="52" t="str">
        <f t="shared" si="8"/>
        <v/>
      </c>
      <c r="I53" s="41"/>
      <c r="J53" s="27" t="str">
        <f t="shared" si="9"/>
        <v/>
      </c>
      <c r="K53" s="28">
        <f t="shared" si="10"/>
        <v>0</v>
      </c>
      <c r="L53" s="27" t="str">
        <f t="shared" si="11"/>
        <v/>
      </c>
      <c r="M53" s="27" t="str">
        <f t="shared" si="12"/>
        <v/>
      </c>
      <c r="N53" s="27">
        <v>0</v>
      </c>
      <c r="O53" s="27" t="str">
        <f t="shared" si="13"/>
        <v/>
      </c>
      <c r="P53" s="29">
        <v>1.4</v>
      </c>
      <c r="Q53" s="30">
        <f t="shared" si="14"/>
        <v>60.984000000000002</v>
      </c>
      <c r="R53" s="30" t="str">
        <f>IF(AND(TRIM(Q53)&lt;&gt;"",TRIM(F53)&lt;&gt;""),(F53*30)/Q53,"")</f>
        <v/>
      </c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27">
        <f t="shared" si="15"/>
        <v>0</v>
      </c>
      <c r="AF53" s="25"/>
      <c r="AH53" s="67" t="s">
        <v>105</v>
      </c>
      <c r="AI53" s="67"/>
      <c r="AJ53" s="67"/>
      <c r="AK53" s="67"/>
      <c r="AL53" s="67"/>
      <c r="AM53" s="67"/>
    </row>
    <row r="54" spans="2:39" x14ac:dyDescent="0.2">
      <c r="B54" s="24"/>
      <c r="C54" s="25" t="s">
        <v>196</v>
      </c>
      <c r="D54" s="25" t="s">
        <v>197</v>
      </c>
      <c r="E54" s="25" t="s">
        <v>134</v>
      </c>
      <c r="F54" s="26"/>
      <c r="G54" s="52">
        <v>0</v>
      </c>
      <c r="H54" s="52" t="str">
        <f t="shared" si="8"/>
        <v/>
      </c>
      <c r="I54" s="41"/>
      <c r="J54" s="27" t="str">
        <f t="shared" si="9"/>
        <v/>
      </c>
      <c r="K54" s="28">
        <f t="shared" si="10"/>
        <v>0</v>
      </c>
      <c r="L54" s="27" t="str">
        <f t="shared" si="11"/>
        <v/>
      </c>
      <c r="M54" s="27" t="str">
        <f t="shared" si="12"/>
        <v/>
      </c>
      <c r="N54" s="27">
        <v>0</v>
      </c>
      <c r="O54" s="27" t="str">
        <f t="shared" si="13"/>
        <v/>
      </c>
      <c r="P54" s="29">
        <v>0.53</v>
      </c>
      <c r="Q54" s="30">
        <f t="shared" si="14"/>
        <v>23.086800000000004</v>
      </c>
      <c r="R54" s="30" t="str">
        <f>IF(AND(TRIM(Q54)&lt;&gt;"",TRIM(F54)&lt;&gt;""),(F54*127.999939675621)/Q54,"")</f>
        <v/>
      </c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27">
        <f t="shared" si="15"/>
        <v>0</v>
      </c>
      <c r="AF54" s="25"/>
    </row>
    <row r="55" spans="2:39" x14ac:dyDescent="0.2">
      <c r="B55" s="24"/>
      <c r="C55" s="25" t="s">
        <v>198</v>
      </c>
      <c r="D55" s="25" t="s">
        <v>199</v>
      </c>
      <c r="E55" s="25" t="s">
        <v>200</v>
      </c>
      <c r="F55" s="26"/>
      <c r="G55" s="52">
        <v>0</v>
      </c>
      <c r="H55" s="52" t="str">
        <f t="shared" si="8"/>
        <v/>
      </c>
      <c r="I55" s="41"/>
      <c r="J55" s="27" t="str">
        <f t="shared" si="9"/>
        <v/>
      </c>
      <c r="K55" s="28">
        <f t="shared" si="10"/>
        <v>0</v>
      </c>
      <c r="L55" s="27" t="str">
        <f t="shared" si="11"/>
        <v/>
      </c>
      <c r="M55" s="27" t="str">
        <f t="shared" si="12"/>
        <v/>
      </c>
      <c r="N55" s="27">
        <v>0</v>
      </c>
      <c r="O55" s="27" t="str">
        <f t="shared" si="13"/>
        <v/>
      </c>
      <c r="P55" s="29">
        <v>0.17199999999999999</v>
      </c>
      <c r="Q55" s="30">
        <f t="shared" si="14"/>
        <v>7.4923199999999994</v>
      </c>
      <c r="R55" s="30" t="str">
        <f>IF(AND(TRIM(Q55)&lt;&gt;"",TRIM(F55)&lt;&gt;""),(F55*6.4)/Q55,"")</f>
        <v/>
      </c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27">
        <f t="shared" si="15"/>
        <v>0</v>
      </c>
      <c r="AF55" s="25"/>
    </row>
    <row r="56" spans="2:39" x14ac:dyDescent="0.2">
      <c r="B56" s="24"/>
      <c r="C56" s="25" t="s">
        <v>201</v>
      </c>
      <c r="D56" s="25" t="s">
        <v>202</v>
      </c>
      <c r="E56" s="25" t="s">
        <v>16</v>
      </c>
      <c r="F56" s="26"/>
      <c r="G56" s="52">
        <v>0</v>
      </c>
      <c r="H56" s="52" t="str">
        <f t="shared" si="8"/>
        <v/>
      </c>
      <c r="I56" s="41"/>
      <c r="J56" s="27" t="str">
        <f t="shared" si="9"/>
        <v/>
      </c>
      <c r="K56" s="28">
        <f t="shared" si="10"/>
        <v>0</v>
      </c>
      <c r="L56" s="27" t="str">
        <f t="shared" si="11"/>
        <v/>
      </c>
      <c r="M56" s="27" t="str">
        <f t="shared" si="12"/>
        <v/>
      </c>
      <c r="N56" s="27">
        <v>0</v>
      </c>
      <c r="O56" s="27" t="str">
        <f t="shared" si="13"/>
        <v/>
      </c>
      <c r="P56" s="29">
        <v>1.5</v>
      </c>
      <c r="Q56" s="30">
        <f t="shared" si="14"/>
        <v>65.34</v>
      </c>
      <c r="R56" s="30" t="str">
        <f>IF(AND(TRIM(Q56)&lt;&gt;"",TRIM(F56)&lt;&gt;""),(F56*319.999849189052)/Q56,"")</f>
        <v/>
      </c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27">
        <f t="shared" si="15"/>
        <v>0</v>
      </c>
      <c r="AF56" s="25"/>
    </row>
    <row r="57" spans="2:39" x14ac:dyDescent="0.2">
      <c r="B57" s="24"/>
      <c r="C57" s="25" t="s">
        <v>203</v>
      </c>
      <c r="D57" s="25" t="s">
        <v>204</v>
      </c>
      <c r="E57" s="25" t="s">
        <v>205</v>
      </c>
      <c r="F57" s="26"/>
      <c r="G57" s="52">
        <v>0</v>
      </c>
      <c r="H57" s="52" t="str">
        <f t="shared" si="8"/>
        <v/>
      </c>
      <c r="I57" s="41"/>
      <c r="J57" s="27" t="str">
        <f t="shared" si="9"/>
        <v/>
      </c>
      <c r="K57" s="28">
        <f t="shared" si="10"/>
        <v>0</v>
      </c>
      <c r="L57" s="27" t="str">
        <f t="shared" si="11"/>
        <v/>
      </c>
      <c r="M57" s="27" t="str">
        <f t="shared" si="12"/>
        <v/>
      </c>
      <c r="N57" s="27">
        <v>0</v>
      </c>
      <c r="O57" s="27" t="str">
        <f t="shared" si="13"/>
        <v/>
      </c>
      <c r="P57" s="29">
        <v>2.2000000000000002</v>
      </c>
      <c r="Q57" s="30">
        <f t="shared" si="14"/>
        <v>95.832000000000008</v>
      </c>
      <c r="R57" s="30" t="str">
        <f>IF(AND(TRIM(Q57)&lt;&gt;"",TRIM(F57)&lt;&gt;""),(F57*47.9999999325321)/Q57,"")</f>
        <v/>
      </c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27">
        <f t="shared" si="15"/>
        <v>0</v>
      </c>
      <c r="AF57" s="25"/>
    </row>
    <row r="58" spans="2:39" x14ac:dyDescent="0.2">
      <c r="B58" s="24"/>
      <c r="C58" s="25" t="s">
        <v>206</v>
      </c>
      <c r="D58" s="25" t="s">
        <v>207</v>
      </c>
      <c r="E58" s="25" t="s">
        <v>16</v>
      </c>
      <c r="F58" s="26"/>
      <c r="G58" s="52">
        <v>0</v>
      </c>
      <c r="H58" s="52" t="str">
        <f t="shared" si="8"/>
        <v/>
      </c>
      <c r="I58" s="41"/>
      <c r="J58" s="27" t="str">
        <f t="shared" si="9"/>
        <v/>
      </c>
      <c r="K58" s="28">
        <f t="shared" si="10"/>
        <v>0</v>
      </c>
      <c r="L58" s="27" t="str">
        <f t="shared" si="11"/>
        <v/>
      </c>
      <c r="M58" s="27" t="str">
        <f t="shared" si="12"/>
        <v/>
      </c>
      <c r="N58" s="27">
        <v>0</v>
      </c>
      <c r="O58" s="27" t="str">
        <f t="shared" si="13"/>
        <v/>
      </c>
      <c r="P58" s="29">
        <v>5</v>
      </c>
      <c r="Q58" s="30">
        <f t="shared" si="14"/>
        <v>217.8</v>
      </c>
      <c r="R58" s="30" t="str">
        <f>IF(AND(TRIM(Q58)&lt;&gt;"",TRIM(F58)&lt;&gt;""),(F58*319.999849189052)/Q58,"")</f>
        <v/>
      </c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27">
        <f t="shared" si="15"/>
        <v>0</v>
      </c>
      <c r="AF58" s="25"/>
    </row>
    <row r="59" spans="2:39" x14ac:dyDescent="0.2">
      <c r="B59" s="24"/>
      <c r="C59" s="25" t="s">
        <v>211</v>
      </c>
      <c r="D59" s="25" t="s">
        <v>212</v>
      </c>
      <c r="E59" s="25" t="s">
        <v>16</v>
      </c>
      <c r="F59" s="26"/>
      <c r="G59" s="52">
        <v>0</v>
      </c>
      <c r="H59" s="52" t="str">
        <f t="shared" si="8"/>
        <v/>
      </c>
      <c r="I59" s="41"/>
      <c r="J59" s="27" t="str">
        <f t="shared" si="9"/>
        <v/>
      </c>
      <c r="K59" s="28">
        <f t="shared" si="10"/>
        <v>0</v>
      </c>
      <c r="L59" s="27" t="str">
        <f t="shared" si="11"/>
        <v/>
      </c>
      <c r="M59" s="27" t="str">
        <f t="shared" si="12"/>
        <v/>
      </c>
      <c r="N59" s="27">
        <v>0</v>
      </c>
      <c r="O59" s="27" t="str">
        <f t="shared" si="13"/>
        <v/>
      </c>
      <c r="P59" s="29">
        <v>6</v>
      </c>
      <c r="Q59" s="30">
        <f t="shared" si="14"/>
        <v>261.36</v>
      </c>
      <c r="R59" s="30" t="str">
        <f>IF(AND(TRIM(Q59)&lt;&gt;"",TRIM(F59)&lt;&gt;""),(F59*319.999849189052)/Q59,"")</f>
        <v/>
      </c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27">
        <f t="shared" si="15"/>
        <v>0</v>
      </c>
      <c r="AF59" s="25"/>
    </row>
    <row r="60" spans="2:39" x14ac:dyDescent="0.2">
      <c r="B60" s="24"/>
      <c r="C60" s="25" t="s">
        <v>216</v>
      </c>
      <c r="D60" s="25" t="s">
        <v>217</v>
      </c>
      <c r="E60" s="25" t="s">
        <v>218</v>
      </c>
      <c r="F60" s="26"/>
      <c r="G60" s="52">
        <v>0</v>
      </c>
      <c r="H60" s="52" t="str">
        <f t="shared" si="8"/>
        <v/>
      </c>
      <c r="I60" s="41"/>
      <c r="J60" s="27" t="str">
        <f t="shared" si="9"/>
        <v/>
      </c>
      <c r="K60" s="28">
        <f t="shared" si="10"/>
        <v>0</v>
      </c>
      <c r="L60" s="27" t="str">
        <f t="shared" si="11"/>
        <v/>
      </c>
      <c r="M60" s="27" t="str">
        <f t="shared" si="12"/>
        <v/>
      </c>
      <c r="N60" s="27">
        <v>0</v>
      </c>
      <c r="O60" s="27" t="str">
        <f t="shared" si="13"/>
        <v/>
      </c>
      <c r="P60" s="29">
        <v>16</v>
      </c>
      <c r="Q60" s="30">
        <f t="shared" si="14"/>
        <v>696.96</v>
      </c>
      <c r="R60" s="30" t="str">
        <f>IF(AND(TRIM(Q60)&lt;&gt;"",TRIM(F60)&lt;&gt;""),(F60*144)/Q60,"")</f>
        <v/>
      </c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27">
        <f t="shared" si="15"/>
        <v>0</v>
      </c>
      <c r="AF60" s="25"/>
    </row>
    <row r="61" spans="2:39" x14ac:dyDescent="0.2">
      <c r="B61" s="24"/>
      <c r="C61" s="25" t="s">
        <v>219</v>
      </c>
      <c r="D61" s="25" t="s">
        <v>220</v>
      </c>
      <c r="E61" s="25" t="s">
        <v>221</v>
      </c>
      <c r="F61" s="26"/>
      <c r="G61" s="52">
        <v>0</v>
      </c>
      <c r="H61" s="52" t="str">
        <f t="shared" si="8"/>
        <v/>
      </c>
      <c r="I61" s="41"/>
      <c r="J61" s="27" t="str">
        <f t="shared" si="9"/>
        <v/>
      </c>
      <c r="K61" s="28">
        <f t="shared" si="10"/>
        <v>0</v>
      </c>
      <c r="L61" s="27" t="str">
        <f t="shared" si="11"/>
        <v/>
      </c>
      <c r="M61" s="27" t="str">
        <f t="shared" si="12"/>
        <v/>
      </c>
      <c r="N61" s="27">
        <v>0</v>
      </c>
      <c r="O61" s="27" t="str">
        <f t="shared" si="13"/>
        <v/>
      </c>
      <c r="P61" s="29">
        <v>0.27500000000000002</v>
      </c>
      <c r="Q61" s="30">
        <f t="shared" si="14"/>
        <v>11.979000000000001</v>
      </c>
      <c r="R61" s="30" t="str">
        <f>IF(AND(TRIM(Q61)&lt;&gt;"",TRIM(F61)&lt;&gt;""),(F61*8.115365448432)/Q61,"")</f>
        <v/>
      </c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27">
        <f t="shared" si="15"/>
        <v>0</v>
      </c>
      <c r="AF61" s="25"/>
    </row>
    <row r="62" spans="2:39" x14ac:dyDescent="0.2">
      <c r="B62" s="24"/>
      <c r="C62" s="25" t="s">
        <v>223</v>
      </c>
      <c r="D62" s="25" t="s">
        <v>220</v>
      </c>
      <c r="E62" s="25" t="s">
        <v>224</v>
      </c>
      <c r="F62" s="26"/>
      <c r="G62" s="52">
        <v>0</v>
      </c>
      <c r="H62" s="52" t="str">
        <f t="shared" si="8"/>
        <v/>
      </c>
      <c r="I62" s="41"/>
      <c r="J62" s="27" t="str">
        <f t="shared" si="9"/>
        <v/>
      </c>
      <c r="K62" s="28">
        <f t="shared" si="10"/>
        <v>0</v>
      </c>
      <c r="L62" s="27" t="str">
        <f t="shared" si="11"/>
        <v/>
      </c>
      <c r="M62" s="27" t="str">
        <f t="shared" si="12"/>
        <v/>
      </c>
      <c r="N62" s="27">
        <v>0</v>
      </c>
      <c r="O62" s="27" t="str">
        <f t="shared" si="13"/>
        <v/>
      </c>
      <c r="P62" s="29">
        <v>0.27500000000000002</v>
      </c>
      <c r="Q62" s="30">
        <f t="shared" si="14"/>
        <v>11.979000000000001</v>
      </c>
      <c r="R62" s="30" t="str">
        <f>IF(AND(TRIM(Q62)&lt;&gt;"",TRIM(F62)&lt;&gt;""),(F62*30.43262043162)/Q62,"")</f>
        <v/>
      </c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27">
        <f t="shared" si="15"/>
        <v>0</v>
      </c>
      <c r="AF62" s="25"/>
    </row>
    <row r="63" spans="2:39" x14ac:dyDescent="0.2">
      <c r="B63" s="24"/>
      <c r="C63" s="25" t="s">
        <v>225</v>
      </c>
      <c r="D63" s="25" t="s">
        <v>226</v>
      </c>
      <c r="E63" s="25" t="s">
        <v>227</v>
      </c>
      <c r="F63" s="26"/>
      <c r="G63" s="52">
        <v>0</v>
      </c>
      <c r="H63" s="52" t="str">
        <f t="shared" si="8"/>
        <v/>
      </c>
      <c r="I63" s="41"/>
      <c r="J63" s="27" t="str">
        <f t="shared" si="9"/>
        <v/>
      </c>
      <c r="K63" s="28">
        <f t="shared" si="10"/>
        <v>0</v>
      </c>
      <c r="L63" s="27" t="str">
        <f t="shared" si="11"/>
        <v/>
      </c>
      <c r="M63" s="27" t="str">
        <f t="shared" si="12"/>
        <v/>
      </c>
      <c r="N63" s="27">
        <v>0</v>
      </c>
      <c r="O63" s="27" t="str">
        <f t="shared" si="13"/>
        <v/>
      </c>
      <c r="P63" s="29">
        <v>0.35399999999999998</v>
      </c>
      <c r="Q63" s="30">
        <f t="shared" si="14"/>
        <v>15.42024</v>
      </c>
      <c r="R63" s="30" t="str">
        <f>IF(AND(TRIM(Q63)&lt;&gt;"",TRIM(F63)&lt;&gt;""),(F63*14.815063998)/Q63,"")</f>
        <v/>
      </c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27">
        <f t="shared" si="15"/>
        <v>0</v>
      </c>
      <c r="AF63" s="25"/>
    </row>
    <row r="64" spans="2:39" x14ac:dyDescent="0.2">
      <c r="B64" s="24"/>
      <c r="C64" s="25" t="s">
        <v>228</v>
      </c>
      <c r="D64" s="25" t="s">
        <v>229</v>
      </c>
      <c r="E64" s="25" t="s">
        <v>230</v>
      </c>
      <c r="F64" s="26"/>
      <c r="G64" s="52">
        <v>0</v>
      </c>
      <c r="H64" s="52" t="str">
        <f t="shared" si="8"/>
        <v/>
      </c>
      <c r="I64" s="41"/>
      <c r="J64" s="27" t="str">
        <f t="shared" si="9"/>
        <v/>
      </c>
      <c r="K64" s="28">
        <f t="shared" si="10"/>
        <v>0</v>
      </c>
      <c r="L64" s="27" t="str">
        <f t="shared" si="11"/>
        <v/>
      </c>
      <c r="M64" s="27" t="str">
        <f t="shared" si="12"/>
        <v/>
      </c>
      <c r="N64" s="27">
        <v>0</v>
      </c>
      <c r="O64" s="27" t="str">
        <f t="shared" si="13"/>
        <v/>
      </c>
      <c r="P64" s="29">
        <v>0.35199999999999998</v>
      </c>
      <c r="Q64" s="30">
        <f t="shared" si="14"/>
        <v>15.333119999999999</v>
      </c>
      <c r="R64" s="30" t="str">
        <f>IF(AND(TRIM(Q64)&lt;&gt;"",TRIM(F64)&lt;&gt;""),(F64*14.10958476)/Q64,"")</f>
        <v/>
      </c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27">
        <f t="shared" si="15"/>
        <v>0</v>
      </c>
      <c r="AF64" s="25"/>
    </row>
    <row r="65" spans="2:32" x14ac:dyDescent="0.2">
      <c r="B65" s="42"/>
      <c r="C65" s="42"/>
      <c r="D65" s="42"/>
      <c r="E65" s="42"/>
      <c r="F65" s="43">
        <f>SUM(F19:F37,F40:F64)</f>
        <v>0</v>
      </c>
      <c r="G65" s="44"/>
      <c r="H65" s="44">
        <f>SUM(H19:H37,H40:H64)</f>
        <v>0</v>
      </c>
      <c r="I65" s="44"/>
      <c r="J65" s="44">
        <f>SUM(J19:J37,J40:J64)</f>
        <v>0</v>
      </c>
      <c r="K65" s="45"/>
      <c r="L65" s="44">
        <f>SUM(L19:L37,L40:L64)</f>
        <v>0</v>
      </c>
      <c r="M65" s="44"/>
      <c r="N65" s="44"/>
      <c r="O65" s="44">
        <f>SUM(O19:O37,O40:O64)</f>
        <v>0</v>
      </c>
      <c r="P65" s="46"/>
      <c r="Q65" s="47"/>
      <c r="R65" s="47">
        <v>0</v>
      </c>
      <c r="S65" s="46"/>
      <c r="T65" s="46"/>
      <c r="U65" s="46"/>
      <c r="V65" s="46"/>
      <c r="W65" s="46"/>
      <c r="X65" s="46"/>
      <c r="Y65" s="46"/>
      <c r="Z65" s="46" t="str">
        <f>IF(VLOOKUP(7, Rebates!$B$4:$D$14, 3, FALSE) = 0, "", IF(AE65="",0,IF(ISNA(VLOOKUP(AE65,Rebates!$M$4:$P$9,3,1)),"", VLOOKUP(AE65,Rebates!$M$4:$P$9,3,1))))</f>
        <v/>
      </c>
      <c r="AA65" s="46"/>
      <c r="AB65" s="46"/>
      <c r="AC65" s="46"/>
      <c r="AD65" s="46"/>
      <c r="AE65" s="44">
        <f>SUM(AE19:AE37,AE40:AE64)</f>
        <v>0</v>
      </c>
      <c r="AF65" s="42"/>
    </row>
    <row r="67" spans="2:32" x14ac:dyDescent="0.2">
      <c r="B67" s="79" t="s">
        <v>231</v>
      </c>
      <c r="C67" s="79"/>
      <c r="D67" s="79"/>
      <c r="E67" s="79"/>
    </row>
    <row r="68" spans="2:32" x14ac:dyDescent="0.2">
      <c r="B68" s="79"/>
      <c r="C68" s="79"/>
      <c r="D68" s="79"/>
      <c r="E68" s="79"/>
    </row>
    <row r="69" spans="2:32" x14ac:dyDescent="0.2">
      <c r="B69" s="80" t="s">
        <v>236</v>
      </c>
      <c r="C69" s="80"/>
      <c r="D69" s="80"/>
      <c r="E69" s="80"/>
    </row>
    <row r="70" spans="2:32" x14ac:dyDescent="0.2">
      <c r="B70" s="80"/>
      <c r="C70" s="80"/>
      <c r="D70" s="80"/>
      <c r="E70" s="80"/>
    </row>
    <row r="71" spans="2:32" x14ac:dyDescent="0.2">
      <c r="B71" s="80"/>
      <c r="C71" s="80"/>
      <c r="D71" s="80"/>
      <c r="E71" s="80"/>
    </row>
    <row r="72" spans="2:32" x14ac:dyDescent="0.2">
      <c r="B72" s="59" t="s">
        <v>237</v>
      </c>
      <c r="C72" s="60"/>
      <c r="D72" s="60"/>
      <c r="E72" s="48">
        <f>H65</f>
        <v>0</v>
      </c>
    </row>
    <row r="73" spans="2:32" x14ac:dyDescent="0.2">
      <c r="B73" s="57" t="s">
        <v>238</v>
      </c>
      <c r="C73" s="58"/>
      <c r="D73" s="58"/>
      <c r="E73" s="49">
        <f>SUM(H65-J65)</f>
        <v>0</v>
      </c>
    </row>
    <row r="74" spans="2:32" x14ac:dyDescent="0.2">
      <c r="B74" s="59" t="s">
        <v>239</v>
      </c>
      <c r="C74" s="60"/>
      <c r="D74" s="60"/>
      <c r="E74" s="48">
        <f>J65</f>
        <v>0</v>
      </c>
    </row>
    <row r="75" spans="2:32" x14ac:dyDescent="0.2">
      <c r="B75" s="57" t="s">
        <v>240</v>
      </c>
      <c r="C75" s="58"/>
      <c r="D75" s="58"/>
      <c r="E75" s="49">
        <f>L65</f>
        <v>0</v>
      </c>
    </row>
    <row r="76" spans="2:32" x14ac:dyDescent="0.2">
      <c r="B76" s="59" t="s">
        <v>241</v>
      </c>
      <c r="C76" s="60"/>
      <c r="D76" s="60"/>
      <c r="E76" s="48">
        <f>O65</f>
        <v>0</v>
      </c>
    </row>
    <row r="77" spans="2:32" x14ac:dyDescent="0.2">
      <c r="B77" s="57" t="s">
        <v>242</v>
      </c>
      <c r="C77" s="58"/>
      <c r="D77" s="58"/>
      <c r="E77" s="50">
        <f>IF(AND(J65 &lt;&gt;"", J65 &gt; 0), SUM(L65/J65),0)</f>
        <v>0</v>
      </c>
    </row>
    <row r="78" spans="2:32" x14ac:dyDescent="0.2">
      <c r="B78" s="59" t="s">
        <v>243</v>
      </c>
      <c r="C78" s="60"/>
      <c r="D78" s="60"/>
      <c r="E78" s="51">
        <f>IF(AND(E72 &lt;&gt; "", E72 &gt; 0), ((E72 - E74) + E75)/E72,0)</f>
        <v>0</v>
      </c>
    </row>
    <row r="79" spans="2:32" x14ac:dyDescent="0.2">
      <c r="B79" s="61" t="str">
        <f>CONCATENATE("Estimated MBR points to be earned in the Product Cart: ",TEXT(IF(AND(E75 &lt;&gt;"", E75 &gt; 0),E75*100, 0),"#,##0"))</f>
        <v>Estimated MBR points to be earned in the Product Cart: 0</v>
      </c>
      <c r="C79" s="61"/>
      <c r="D79" s="61"/>
      <c r="E79" s="61"/>
    </row>
    <row r="80" spans="2:32" x14ac:dyDescent="0.2">
      <c r="B80" s="62" t="s">
        <v>244</v>
      </c>
      <c r="C80" s="62"/>
      <c r="D80" s="62"/>
      <c r="E80" s="62"/>
    </row>
    <row r="81" spans="2:5" x14ac:dyDescent="0.2">
      <c r="B81" s="62"/>
      <c r="C81" s="62"/>
      <c r="D81" s="62"/>
      <c r="E81" s="62"/>
    </row>
    <row r="82" spans="2:5" x14ac:dyDescent="0.2">
      <c r="B82" s="62"/>
      <c r="C82" s="62"/>
      <c r="D82" s="62"/>
      <c r="E82" s="62"/>
    </row>
    <row r="83" spans="2:5" x14ac:dyDescent="0.2">
      <c r="B83" s="62"/>
      <c r="C83" s="62"/>
      <c r="D83" s="62"/>
      <c r="E83" s="62"/>
    </row>
    <row r="84" spans="2:5" x14ac:dyDescent="0.2">
      <c r="B84" s="62"/>
      <c r="C84" s="62"/>
      <c r="D84" s="62"/>
      <c r="E84" s="62"/>
    </row>
  </sheetData>
  <sheetProtection algorithmName="SHA-512" hashValue="B2q9zoPfuHvjtdPCC+c58cnIwwAwabJ3wFIBI8sgy1be2R/bMc0VfjBiey3pwH6nJDSJNch3eEPOHksDhr+UEw==" saltValue="Hg5bWisWRgnC+EKQngm5kQ==" spinCount="100000" sheet="1" objects="1" scenarios="1"/>
  <mergeCells count="98">
    <mergeCell ref="B1:AE1"/>
    <mergeCell ref="B3:E4"/>
    <mergeCell ref="B5:E6"/>
    <mergeCell ref="B7:E7"/>
    <mergeCell ref="B8:E8"/>
    <mergeCell ref="B9:E9"/>
    <mergeCell ref="B10:E10"/>
    <mergeCell ref="B11:E11"/>
    <mergeCell ref="B14:E15"/>
    <mergeCell ref="AH14:AM15"/>
    <mergeCell ref="B17:R17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X18:X20"/>
    <mergeCell ref="Y18:Y20"/>
    <mergeCell ref="Z18:Z20"/>
    <mergeCell ref="AA18:AA20"/>
    <mergeCell ref="AB18:AB20"/>
    <mergeCell ref="AC18:AC20"/>
    <mergeCell ref="AD18:AD20"/>
    <mergeCell ref="AE18:AE20"/>
    <mergeCell ref="AF18:AF20"/>
    <mergeCell ref="AH20:AM21"/>
    <mergeCell ref="AH22:AM23"/>
    <mergeCell ref="AH24:AM24"/>
    <mergeCell ref="AH16:AM18"/>
    <mergeCell ref="AH29:AM29"/>
    <mergeCell ref="AH32:AM33"/>
    <mergeCell ref="AH34:AM35"/>
    <mergeCell ref="AH36:AM36"/>
    <mergeCell ref="B38:R38"/>
    <mergeCell ref="B39:B41"/>
    <mergeCell ref="C39:C41"/>
    <mergeCell ref="D39:D41"/>
    <mergeCell ref="E39:E41"/>
    <mergeCell ref="F39:F41"/>
    <mergeCell ref="G39:G41"/>
    <mergeCell ref="H39:H41"/>
    <mergeCell ref="I39:I41"/>
    <mergeCell ref="J39:J41"/>
    <mergeCell ref="K39:K41"/>
    <mergeCell ref="L39:L41"/>
    <mergeCell ref="M39:M41"/>
    <mergeCell ref="N39:N41"/>
    <mergeCell ref="O39:O41"/>
    <mergeCell ref="P39:P41"/>
    <mergeCell ref="Q39:Q41"/>
    <mergeCell ref="R39:R41"/>
    <mergeCell ref="S39:S41"/>
    <mergeCell ref="T39:T41"/>
    <mergeCell ref="U39:U41"/>
    <mergeCell ref="V39:V41"/>
    <mergeCell ref="W39:W41"/>
    <mergeCell ref="X39:X41"/>
    <mergeCell ref="Y39:Y41"/>
    <mergeCell ref="Z39:Z41"/>
    <mergeCell ref="AA39:AA41"/>
    <mergeCell ref="AB39:AB41"/>
    <mergeCell ref="AC39:AC41"/>
    <mergeCell ref="AD39:AD41"/>
    <mergeCell ref="AE39:AE41"/>
    <mergeCell ref="AF39:AF41"/>
    <mergeCell ref="AH41:AM41"/>
    <mergeCell ref="AH44:AM45"/>
    <mergeCell ref="AH46:AM47"/>
    <mergeCell ref="AH48:AM48"/>
    <mergeCell ref="AH53:AM53"/>
    <mergeCell ref="B67:E68"/>
    <mergeCell ref="B69:E71"/>
    <mergeCell ref="B72:D72"/>
    <mergeCell ref="B73:D73"/>
    <mergeCell ref="B79:E79"/>
    <mergeCell ref="B80:E84"/>
    <mergeCell ref="B74:D74"/>
    <mergeCell ref="B75:D75"/>
    <mergeCell ref="B76:D76"/>
    <mergeCell ref="B77:D77"/>
    <mergeCell ref="B78:D78"/>
  </mergeCells>
  <conditionalFormatting sqref="B19:B37">
    <cfRule type="iconSet" priority="1">
      <iconSet iconSet="3Flags" showValue="0">
        <cfvo type="num" val="-1"/>
        <cfvo type="num" val="0"/>
        <cfvo type="num" val="1"/>
      </iconSet>
    </cfRule>
  </conditionalFormatting>
  <conditionalFormatting sqref="B40:B64">
    <cfRule type="iconSet" priority="2">
      <iconSet iconSet="3Flags" showValue="0">
        <cfvo type="num" val="-1"/>
        <cfvo type="num" val="0"/>
        <cfvo type="num" val="1"/>
      </iconSet>
    </cfRule>
  </conditionalFormatting>
  <dataValidations count="38">
    <dataValidation type="whole" allowBlank="1" showInputMessage="1" showErrorMessage="1" errorTitle="# Units Error" error="Must be greater than 1." sqref="F21:F22 F26 F29:F30 F42:F64" xr:uid="{00000000-0002-0000-0400-000000000000}">
      <formula1>1</formula1>
      <formula2>9999999</formula2>
    </dataValidation>
    <dataValidation type="decimal" errorStyle="warning" allowBlank="1" showInputMessage="1" showErrorMessage="1" errorTitle="Use Rate Error" error="Must be between 1.3000 and 4.0000" sqref="P21" xr:uid="{00000000-0002-0000-0400-000001000000}">
      <formula1>1.3</formula1>
      <formula2>4</formula2>
    </dataValidation>
    <dataValidation type="decimal" errorStyle="warning" allowBlank="1" showInputMessage="1" showErrorMessage="1" errorTitle="Use Rate Error" error="Must be between 0.5000 and 1.9000" sqref="P22" xr:uid="{00000000-0002-0000-0400-000002000000}">
      <formula1>0.5</formula1>
      <formula2>1.9</formula2>
    </dataValidation>
    <dataValidation type="whole" allowBlank="1" showInputMessage="1" showErrorMessage="1" errorTitle="# Units Error" error="Must be greater than 1." sqref="F23" xr:uid="{00000000-0002-0000-0400-000003000000}">
      <formula1>1</formula1>
      <formula2>999999</formula2>
    </dataValidation>
    <dataValidation type="decimal" errorStyle="warning" allowBlank="1" showInputMessage="1" showErrorMessage="1" errorTitle="Use Rate Error" error="Must be between 0.1150 and 0.2300" sqref="P23" xr:uid="{00000000-0002-0000-0400-000004000000}">
      <formula1>0.115</formula1>
      <formula2>0.23</formula2>
    </dataValidation>
    <dataValidation type="whole" allowBlank="1" showInputMessage="1" showErrorMessage="1" errorTitle="# Units Error" error="Must be between 1 and 2" sqref="F24" xr:uid="{00000000-0002-0000-0400-000005000000}">
      <formula1>1</formula1>
      <formula2>2</formula2>
    </dataValidation>
    <dataValidation type="decimal" errorStyle="warning" allowBlank="1" showInputMessage="1" showErrorMessage="1" errorTitle="Use Rate Error" error="Must be between 4.0000 and 8.0000" sqref="P24:P25 P48" xr:uid="{00000000-0002-0000-0400-000006000000}">
      <formula1>4</formula1>
      <formula2>8</formula2>
    </dataValidation>
    <dataValidation type="whole" allowBlank="1" showInputMessage="1" showErrorMessage="1" errorTitle="# Units Error" error="Must be greater than 3." sqref="F25" xr:uid="{00000000-0002-0000-0400-000007000000}">
      <formula1>3</formula1>
      <formula2>9999999</formula2>
    </dataValidation>
    <dataValidation type="decimal" errorStyle="warning" allowBlank="1" showInputMessage="1" showErrorMessage="1" errorTitle="Use Rate Error" error="Must be between 4.4000 and 15.0000" sqref="P26" xr:uid="{00000000-0002-0000-0400-000008000000}">
      <formula1>4.4</formula1>
      <formula2>15</formula2>
    </dataValidation>
    <dataValidation type="whole" allowBlank="1" showInputMessage="1" showErrorMessage="1" errorTitle="# Units Error" error="Must be between 1 and 5" sqref="F27 F36" xr:uid="{00000000-0002-0000-0400-000009000000}">
      <formula1>1</formula1>
      <formula2>5</formula2>
    </dataValidation>
    <dataValidation type="decimal" errorStyle="warning" allowBlank="1" showInputMessage="1" showErrorMessage="1" errorTitle="Use Rate Error" error="Must be between 2.0000 and 7.0000" sqref="P27:P28" xr:uid="{00000000-0002-0000-0400-00000A000000}">
      <formula1>2</formula1>
      <formula2>7</formula2>
    </dataValidation>
    <dataValidation type="whole" allowBlank="1" showInputMessage="1" showErrorMessage="1" errorTitle="# Units Error" error="Must be greater than 6." sqref="F28 F37" xr:uid="{00000000-0002-0000-0400-00000B000000}">
      <formula1>6</formula1>
      <formula2>9999999</formula2>
    </dataValidation>
    <dataValidation type="decimal" errorStyle="warning" allowBlank="1" showInputMessage="1" showErrorMessage="1" errorTitle="Use Rate Error" error="Must be between 0.1470 and 0.1970" sqref="P29 P55" xr:uid="{00000000-0002-0000-0400-00000C000000}">
      <formula1>0.147</formula1>
      <formula2>0.197</formula2>
    </dataValidation>
    <dataValidation type="decimal" errorStyle="warning" allowBlank="1" showInputMessage="1" showErrorMessage="1" errorTitle="Use Rate Error" error="Must be between 1.0000 and 2.0000" sqref="P30 P36:P37" xr:uid="{00000000-0002-0000-0400-00000D000000}">
      <formula1>1</formula1>
      <formula2>2</formula2>
    </dataValidation>
    <dataValidation type="whole" allowBlank="1" showInputMessage="1" showErrorMessage="1" errorTitle="# Units Error" error="Must be between 1 and 11" sqref="F31" xr:uid="{00000000-0002-0000-0400-00000E000000}">
      <formula1>1</formula1>
      <formula2>11</formula2>
    </dataValidation>
    <dataValidation type="decimal" errorStyle="warning" allowBlank="1" showInputMessage="1" showErrorMessage="1" errorTitle="Use Rate Error" error="Must be between 1.8500 and 2.8000" sqref="P31:P33" xr:uid="{00000000-0002-0000-0400-00000F000000}">
      <formula1>1.85</formula1>
      <formula2>2.8</formula2>
    </dataValidation>
    <dataValidation type="whole" allowBlank="1" showInputMessage="1" showErrorMessage="1" errorTitle="# Units Error" error="Must be between 12 and 39" sqref="F32" xr:uid="{00000000-0002-0000-0400-000010000000}">
      <formula1>12</formula1>
      <formula2>39</formula2>
    </dataValidation>
    <dataValidation type="whole" allowBlank="1" showInputMessage="1" showErrorMessage="1" errorTitle="# Units Error" error="Must be greater than 40." sqref="F33" xr:uid="{00000000-0002-0000-0400-000011000000}">
      <formula1>40</formula1>
      <formula2>9999999</formula2>
    </dataValidation>
    <dataValidation type="whole" allowBlank="1" showInputMessage="1" showErrorMessage="1" errorTitle="# Units Error" error="Must be between 1 and 23" sqref="F34" xr:uid="{00000000-0002-0000-0400-000012000000}">
      <formula1>1</formula1>
      <formula2>23</formula2>
    </dataValidation>
    <dataValidation type="decimal" errorStyle="warning" allowBlank="1" showInputMessage="1" showErrorMessage="1" errorTitle="Use Rate Error" error="Must be between 2.0000 and 6.0000" sqref="P34:P35" xr:uid="{00000000-0002-0000-0400-000013000000}">
      <formula1>2</formula1>
      <formula2>6</formula2>
    </dataValidation>
    <dataValidation type="whole" allowBlank="1" showInputMessage="1" showErrorMessage="1" errorTitle="# Units Error" error="Must be greater than 24." sqref="F35" xr:uid="{00000000-0002-0000-0400-000014000000}">
      <formula1>24</formula1>
      <formula2>9999999</formula2>
    </dataValidation>
    <dataValidation type="decimal" errorStyle="warning" allowBlank="1" showInputMessage="1" showErrorMessage="1" errorTitle="Use Rate Error" error="Must be between 2.0000 and 8.0000" sqref="P42 P46" xr:uid="{00000000-0002-0000-0400-000015000000}">
      <formula1>2</formula1>
      <formula2>8</formula2>
    </dataValidation>
    <dataValidation type="decimal" errorStyle="warning" allowBlank="1" showInputMessage="1" showErrorMessage="1" errorTitle="Use Rate Error" error="Must be between 0.0800 and 0.9000" sqref="P43:P44" xr:uid="{00000000-0002-0000-0400-000016000000}">
      <formula1>0.08</formula1>
      <formula2>0.9</formula2>
    </dataValidation>
    <dataValidation type="decimal" errorStyle="warning" allowBlank="1" showInputMessage="1" showErrorMessage="1" errorTitle="Use Rate Error" error="Must be between 0.6000 and 1.5000" sqref="P45" xr:uid="{00000000-0002-0000-0400-000017000000}">
      <formula1>0.6</formula1>
      <formula2>1.5</formula2>
    </dataValidation>
    <dataValidation type="decimal" errorStyle="warning" allowBlank="1" showInputMessage="1" showErrorMessage="1" errorTitle="Use Rate Error" error="Must be between 0.7500 and 6.0000" sqref="P47" xr:uid="{00000000-0002-0000-0400-000018000000}">
      <formula1>0.75</formula1>
      <formula2>6</formula2>
    </dataValidation>
    <dataValidation type="decimal" errorStyle="warning" allowBlank="1" showInputMessage="1" showErrorMessage="1" errorTitle="Use Rate Error" error="Must be between 0.1000 and 0.2500" sqref="P49" xr:uid="{00000000-0002-0000-0400-000019000000}">
      <formula1>0.1</formula1>
      <formula2>0.25</formula2>
    </dataValidation>
    <dataValidation type="decimal" errorStyle="warning" allowBlank="1" showInputMessage="1" showErrorMessage="1" errorTitle="Use Rate Error" error="Must be between 4.6000 and 6.9000" sqref="P51" xr:uid="{00000000-0002-0000-0400-00001A000000}">
      <formula1>4.6</formula1>
      <formula2>6.9</formula2>
    </dataValidation>
    <dataValidation type="decimal" errorStyle="warning" allowBlank="1" showInputMessage="1" showErrorMessage="1" errorTitle="Use Rate Error" error="Must be between 2.0000 and 3.0000" sqref="P52" xr:uid="{00000000-0002-0000-0400-00001B000000}">
      <formula1>2</formula1>
      <formula2>3</formula2>
    </dataValidation>
    <dataValidation type="decimal" errorStyle="warning" allowBlank="1" showInputMessage="1" showErrorMessage="1" errorTitle="Use Rate Error" error="Must be between 1.4000 and 1.8000" sqref="P53" xr:uid="{00000000-0002-0000-0400-00001C000000}">
      <formula1>1.4</formula1>
      <formula2>1.8</formula2>
    </dataValidation>
    <dataValidation type="decimal" errorStyle="warning" allowBlank="1" showInputMessage="1" showErrorMessage="1" errorTitle="Use Rate Error" error="Must be between 0.4600 and 0.6000" sqref="P54" xr:uid="{00000000-0002-0000-0400-00001D000000}">
      <formula1>0.46</formula1>
      <formula2>0.6</formula2>
    </dataValidation>
    <dataValidation type="decimal" errorStyle="warning" allowBlank="1" showInputMessage="1" showErrorMessage="1" errorTitle="Use Rate Error" error="Must be between 1.0000 and 4.5000" sqref="P56" xr:uid="{00000000-0002-0000-0400-00001E000000}">
      <formula1>1</formula1>
      <formula2>4.5</formula2>
    </dataValidation>
    <dataValidation type="decimal" errorStyle="warning" allowBlank="1" showInputMessage="1" showErrorMessage="1" errorTitle="Use Rate Error" error="Must be between 1.5000 and 4.5000" sqref="P57" xr:uid="{00000000-0002-0000-0400-00001F000000}">
      <formula1>1.5</formula1>
      <formula2>4.5</formula2>
    </dataValidation>
    <dataValidation type="decimal" errorStyle="warning" allowBlank="1" showInputMessage="1" showErrorMessage="1" errorTitle="Use Rate Error" error="Must be between 5.0000 and 5.0000" sqref="P58" xr:uid="{00000000-0002-0000-0400-000020000000}">
      <formula1>5</formula1>
      <formula2>5</formula2>
    </dataValidation>
    <dataValidation type="decimal" errorStyle="warning" allowBlank="1" showInputMessage="1" showErrorMessage="1" errorTitle="Use Rate Error" error="Must be between 2.0000 and 10.0000" sqref="P59" xr:uid="{00000000-0002-0000-0400-000021000000}">
      <formula1>2</formula1>
      <formula2>10</formula2>
    </dataValidation>
    <dataValidation type="decimal" errorStyle="warning" allowBlank="1" showInputMessage="1" showErrorMessage="1" errorTitle="Use Rate Error" error="Must be between 16.0000 and 16.0000" sqref="P60" xr:uid="{00000000-0002-0000-0400-000022000000}">
      <formula1>16</formula1>
      <formula2>16</formula2>
    </dataValidation>
    <dataValidation type="decimal" errorStyle="warning" allowBlank="1" showInputMessage="1" showErrorMessage="1" errorTitle="Use Rate Error" error="Must be between 0.1380 and 0.2750" sqref="P61:P62" xr:uid="{00000000-0002-0000-0400-000023000000}">
      <formula1>0.138</formula1>
      <formula2>0.275</formula2>
    </dataValidation>
    <dataValidation type="decimal" errorStyle="warning" allowBlank="1" showInputMessage="1" showErrorMessage="1" errorTitle="Use Rate Error" error="Must be between 0.1770 and 0.3540" sqref="P63" xr:uid="{00000000-0002-0000-0400-000024000000}">
      <formula1>0.177</formula1>
      <formula2>0.354</formula2>
    </dataValidation>
    <dataValidation type="decimal" errorStyle="warning" allowBlank="1" showInputMessage="1" showErrorMessage="1" errorTitle="Use Rate Error" error="Must be between 0.1760 and 0.3520" sqref="P64" xr:uid="{00000000-0002-0000-0400-000025000000}">
      <formula1>0.176</formula1>
      <formula2>0.352</formula2>
    </dataValidation>
  </dataValidations>
  <pageMargins left="0.75" right="0.75" top="0.75" bottom="0.5" header="0.5" footer="0.75"/>
  <customProperties>
    <customPr name="_pios_id" r:id="rId1"/>
  </customPropertie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Rebates</vt:lpstr>
      <vt:lpstr>National</vt:lpstr>
      <vt:lpstr>California</vt:lpstr>
      <vt:lpstr>Washington</vt:lpstr>
      <vt:lpstr>NY - Nassau &amp; Suffolk Counties</vt:lpstr>
      <vt:lpstr>California_Header</vt:lpstr>
      <vt:lpstr>California_ProductForm</vt:lpstr>
      <vt:lpstr>California_Summary</vt:lpstr>
      <vt:lpstr>Rebates!GraduatedRebate</vt:lpstr>
      <vt:lpstr>National_Header</vt:lpstr>
      <vt:lpstr>National_ProductForm</vt:lpstr>
      <vt:lpstr>National_Summary</vt:lpstr>
      <vt:lpstr>NYNassauSuffolk_Header</vt:lpstr>
      <vt:lpstr>NYNassauSuffolk_ProductForm</vt:lpstr>
      <vt:lpstr>NYNassauSuffolk_Summary</vt:lpstr>
      <vt:lpstr>Rebates!PluginStatus</vt:lpstr>
      <vt:lpstr>Rebates!TotalPurchase</vt:lpstr>
      <vt:lpstr>Washington_Header</vt:lpstr>
      <vt:lpstr>Washington_ProductForm</vt:lpstr>
      <vt:lpstr>Washington_Summary</vt:lpstr>
    </vt:vector>
  </TitlesOfParts>
  <Company>Bayer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NOW Solutions 2021</dc:title>
  <dc:creator>Bayer AG</dc:creator>
  <cp:lastModifiedBy>Microsoft Office User</cp:lastModifiedBy>
  <dcterms:created xsi:type="dcterms:W3CDTF">2021-07-31T16:14:22Z</dcterms:created>
  <dcterms:modified xsi:type="dcterms:W3CDTF">2021-08-06T16:55:27Z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c76c141-ac86-40e5-abf2-c6f60e474cee_Enabled">
    <vt:lpwstr>True</vt:lpwstr>
  </property>
  <property fmtid="{D5CDD505-2E9C-101B-9397-08002B2CF9AE}" pid="3" name="MSIP_Label_2c76c141-ac86-40e5-abf2-c6f60e474cee_SiteId">
    <vt:lpwstr>fcb2b37b-5da0-466b-9b83-0014b67a7c78</vt:lpwstr>
  </property>
  <property fmtid="{D5CDD505-2E9C-101B-9397-08002B2CF9AE}" pid="4" name="MSIP_Label_2c76c141-ac86-40e5-abf2-c6f60e474cee_Owner">
    <vt:lpwstr>robert.mcnamara@bayer.com</vt:lpwstr>
  </property>
  <property fmtid="{D5CDD505-2E9C-101B-9397-08002B2CF9AE}" pid="5" name="MSIP_Label_2c76c141-ac86-40e5-abf2-c6f60e474cee_SetDate">
    <vt:lpwstr>2021-07-31T16:15:14.6413907Z</vt:lpwstr>
  </property>
  <property fmtid="{D5CDD505-2E9C-101B-9397-08002B2CF9AE}" pid="6" name="MSIP_Label_2c76c141-ac86-40e5-abf2-c6f60e474cee_Name">
    <vt:lpwstr>RESTRICTED</vt:lpwstr>
  </property>
  <property fmtid="{D5CDD505-2E9C-101B-9397-08002B2CF9AE}" pid="7" name="MSIP_Label_2c76c141-ac86-40e5-abf2-c6f60e474cee_Application">
    <vt:lpwstr>Microsoft Azure Information Protection</vt:lpwstr>
  </property>
  <property fmtid="{D5CDD505-2E9C-101B-9397-08002B2CF9AE}" pid="8" name="MSIP_Label_2c76c141-ac86-40e5-abf2-c6f60e474cee_Extended_MSFT_Method">
    <vt:lpwstr>Automatic</vt:lpwstr>
  </property>
  <property fmtid="{D5CDD505-2E9C-101B-9397-08002B2CF9AE}" pid="9" name="Sensitivity">
    <vt:lpwstr>RESTRICTED</vt:lpwstr>
  </property>
  <property fmtid="{D5CDD505-2E9C-101B-9397-08002B2CF9AE}" pid="10" name="CofWorkbookId">
    <vt:lpwstr>895bd4af-db2f-4c18-921b-4ffe1588c7c4</vt:lpwstr>
  </property>
</Properties>
</file>