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ayergroup-my.sharepoint.com/personal/robert_mcnamara_bayer_com/Documents/Desktop/"/>
    </mc:Choice>
  </mc:AlternateContent>
  <xr:revisionPtr revIDLastSave="1" documentId="8_{9DCBE6AF-63FD-4473-9E42-74F019F8F43C}" xr6:coauthVersionLast="45" xr6:coauthVersionMax="45" xr10:uidLastSave="{C8E3F842-404E-4CC8-AD69-C8F732B8F454}"/>
  <workbookProtection workbookAlgorithmName="SHA-512" workbookHashValue="3jujNXqQ5//cBW2inIXebzfZBtyBq0Y5d0nV97/pCqHagPlR/P7VG6NmOLueht3DuZ1BdWVUwSnD9yCNaqpvBA==" workbookSaltValue="n93Kok7BDKnnBlWhR8EX7g==" workbookSpinCount="100000" lockStructure="1"/>
  <bookViews>
    <workbookView xWindow="-28920" yWindow="-120" windowWidth="29040" windowHeight="17640" xr2:uid="{DFC94482-B52A-4CE6-B64D-D5D343E9075A}"/>
  </bookViews>
  <sheets>
    <sheet name="Washington" sheetId="2" r:id="rId1"/>
    <sheet name="Rebates" sheetId="3" state="hidden" r:id="rId2"/>
    <sheet name="Golf Sell Sheet" sheetId="4" r:id="rId3"/>
    <sheet name="Lawn Sell Sheet" sheetId="5" r:id="rId4"/>
  </sheets>
  <externalReferences>
    <externalReference r:id="rId5"/>
  </externalReferences>
  <definedNames>
    <definedName name="California_Header">#REF!</definedName>
    <definedName name="California_ProductForm">#REF!</definedName>
    <definedName name="California_Summary">#REF!</definedName>
    <definedName name="GraduatedRebate" localSheetId="1">Rebates!$F$4:$K$10</definedName>
    <definedName name="National_Header" localSheetId="0">Washington!$B$3:$E$9</definedName>
    <definedName name="National_ProductForm" localSheetId="0">Washington!$C$17:$AG$83</definedName>
    <definedName name="National_Summary" localSheetId="0">Washington!$C$85:$F$97</definedName>
    <definedName name="NYNassauSuffolk_Header">#REF!</definedName>
    <definedName name="NYNassauSuffolk_ProductForm">#REF!</definedName>
    <definedName name="NYNassauSuffolk_Summary">#REF!</definedName>
    <definedName name="PluginStatus" localSheetId="1">Rebates!$B$4:$D$14</definedName>
    <definedName name="TotalPurchase" localSheetId="1">Rebates!$M$4:$P$9</definedName>
    <definedName name="Washington_Header">#REF!</definedName>
    <definedName name="Washington_ProductForm">#REF!</definedName>
    <definedName name="Washington_Summar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N121" i="2" l="1"/>
  <c r="AN120" i="2"/>
  <c r="AN109" i="2"/>
  <c r="AN108" i="2"/>
  <c r="AN97" i="2"/>
  <c r="AN96" i="2"/>
  <c r="AN85" i="2"/>
  <c r="AN84" i="2"/>
  <c r="G83" i="2"/>
  <c r="AF82" i="2"/>
  <c r="T82" i="2"/>
  <c r="L82" i="2" s="1"/>
  <c r="S82" i="2"/>
  <c r="R82" i="2"/>
  <c r="P82" i="2"/>
  <c r="N82" i="2"/>
  <c r="M82" i="2"/>
  <c r="K82" i="2"/>
  <c r="I82" i="2"/>
  <c r="H82" i="2"/>
  <c r="AF81" i="2"/>
  <c r="AA81" i="2"/>
  <c r="T81" i="2"/>
  <c r="S81" i="2"/>
  <c r="R81" i="2"/>
  <c r="P81" i="2"/>
  <c r="N81" i="2"/>
  <c r="M81" i="2"/>
  <c r="K81" i="2"/>
  <c r="I81" i="2"/>
  <c r="H81" i="2"/>
  <c r="AF80" i="2"/>
  <c r="AA80" i="2"/>
  <c r="T80" i="2"/>
  <c r="S80" i="2"/>
  <c r="R80" i="2"/>
  <c r="P80" i="2"/>
  <c r="N80" i="2"/>
  <c r="M80" i="2"/>
  <c r="K80" i="2"/>
  <c r="I80" i="2"/>
  <c r="H80" i="2"/>
  <c r="AF79" i="2"/>
  <c r="AA79" i="2"/>
  <c r="T79" i="2"/>
  <c r="S79" i="2"/>
  <c r="R79" i="2"/>
  <c r="P79" i="2"/>
  <c r="N79" i="2"/>
  <c r="M79" i="2"/>
  <c r="K79" i="2"/>
  <c r="I79" i="2"/>
  <c r="H79" i="2"/>
  <c r="AF78" i="2"/>
  <c r="AA78" i="2"/>
  <c r="T78" i="2"/>
  <c r="R78" i="2"/>
  <c r="S78" i="2" s="1"/>
  <c r="P78" i="2"/>
  <c r="N78" i="2"/>
  <c r="M78" i="2"/>
  <c r="K78" i="2"/>
  <c r="I78" i="2"/>
  <c r="H78" i="2"/>
  <c r="AF77" i="2"/>
  <c r="AA77" i="2"/>
  <c r="T77" i="2"/>
  <c r="R77" i="2"/>
  <c r="S77" i="2" s="1"/>
  <c r="P77" i="2"/>
  <c r="N77" i="2"/>
  <c r="M77" i="2"/>
  <c r="K77" i="2"/>
  <c r="I77" i="2"/>
  <c r="H77" i="2"/>
  <c r="AF76" i="2"/>
  <c r="AA76" i="2"/>
  <c r="T76" i="2"/>
  <c r="R76" i="2"/>
  <c r="S76" i="2" s="1"/>
  <c r="P76" i="2"/>
  <c r="N76" i="2"/>
  <c r="M76" i="2"/>
  <c r="K76" i="2"/>
  <c r="I76" i="2"/>
  <c r="H76" i="2"/>
  <c r="AF75" i="2"/>
  <c r="AA75" i="2"/>
  <c r="T75" i="2"/>
  <c r="R75" i="2"/>
  <c r="S75" i="2" s="1"/>
  <c r="P75" i="2"/>
  <c r="N75" i="2"/>
  <c r="M75" i="2"/>
  <c r="K75" i="2"/>
  <c r="I75" i="2"/>
  <c r="H75" i="2"/>
  <c r="AF74" i="2"/>
  <c r="AA74" i="2"/>
  <c r="T74" i="2"/>
  <c r="S74" i="2"/>
  <c r="R74" i="2"/>
  <c r="P74" i="2"/>
  <c r="N74" i="2"/>
  <c r="M74" i="2"/>
  <c r="K74" i="2"/>
  <c r="I74" i="2"/>
  <c r="H74" i="2"/>
  <c r="AN73" i="2"/>
  <c r="AF73" i="2"/>
  <c r="AA73" i="2"/>
  <c r="T73" i="2"/>
  <c r="R73" i="2"/>
  <c r="S73" i="2" s="1"/>
  <c r="P73" i="2"/>
  <c r="N73" i="2"/>
  <c r="M73" i="2"/>
  <c r="K73" i="2"/>
  <c r="I73" i="2"/>
  <c r="H73" i="2"/>
  <c r="AN72" i="2"/>
  <c r="AF72" i="2"/>
  <c r="AA72" i="2"/>
  <c r="T72" i="2"/>
  <c r="R72" i="2"/>
  <c r="S72" i="2" s="1"/>
  <c r="P72" i="2"/>
  <c r="N72" i="2"/>
  <c r="M72" i="2"/>
  <c r="K72" i="2"/>
  <c r="I72" i="2"/>
  <c r="H72" i="2"/>
  <c r="AF71" i="2"/>
  <c r="AA71" i="2"/>
  <c r="T71" i="2"/>
  <c r="R71" i="2"/>
  <c r="S71" i="2" s="1"/>
  <c r="P71" i="2"/>
  <c r="N71" i="2"/>
  <c r="M71" i="2"/>
  <c r="K71" i="2"/>
  <c r="I71" i="2"/>
  <c r="H71" i="2"/>
  <c r="AF70" i="2"/>
  <c r="AA70" i="2"/>
  <c r="T70" i="2"/>
  <c r="R70" i="2"/>
  <c r="S70" i="2" s="1"/>
  <c r="P70" i="2"/>
  <c r="N70" i="2"/>
  <c r="M70" i="2"/>
  <c r="K70" i="2"/>
  <c r="I70" i="2"/>
  <c r="H70" i="2"/>
  <c r="AF69" i="2"/>
  <c r="AA69" i="2"/>
  <c r="T69" i="2"/>
  <c r="S69" i="2"/>
  <c r="R69" i="2"/>
  <c r="P69" i="2"/>
  <c r="N69" i="2"/>
  <c r="M69" i="2"/>
  <c r="K69" i="2"/>
  <c r="I69" i="2"/>
  <c r="H69" i="2"/>
  <c r="AF68" i="2"/>
  <c r="AA68" i="2"/>
  <c r="T68" i="2"/>
  <c r="S68" i="2"/>
  <c r="R68" i="2"/>
  <c r="P68" i="2"/>
  <c r="N68" i="2"/>
  <c r="M68" i="2"/>
  <c r="K68" i="2"/>
  <c r="I68" i="2"/>
  <c r="H68" i="2"/>
  <c r="AF67" i="2"/>
  <c r="AA67" i="2"/>
  <c r="T67" i="2"/>
  <c r="S67" i="2"/>
  <c r="R67" i="2"/>
  <c r="P67" i="2"/>
  <c r="N67" i="2"/>
  <c r="M67" i="2"/>
  <c r="K67" i="2"/>
  <c r="I67" i="2"/>
  <c r="H67" i="2"/>
  <c r="AF66" i="2"/>
  <c r="AA66" i="2"/>
  <c r="T66" i="2"/>
  <c r="S66" i="2"/>
  <c r="R66" i="2"/>
  <c r="P66" i="2"/>
  <c r="N66" i="2"/>
  <c r="M66" i="2"/>
  <c r="K66" i="2"/>
  <c r="I66" i="2"/>
  <c r="H66" i="2"/>
  <c r="AF65" i="2"/>
  <c r="AA65" i="2"/>
  <c r="T65" i="2"/>
  <c r="S65" i="2"/>
  <c r="R65" i="2"/>
  <c r="P65" i="2"/>
  <c r="O65" i="2"/>
  <c r="N65" i="2"/>
  <c r="M65" i="2"/>
  <c r="K65" i="2"/>
  <c r="I65" i="2"/>
  <c r="H65" i="2"/>
  <c r="AF64" i="2"/>
  <c r="AA64" i="2"/>
  <c r="T64" i="2"/>
  <c r="S64" i="2"/>
  <c r="R64" i="2"/>
  <c r="P64" i="2"/>
  <c r="N64" i="2"/>
  <c r="M64" i="2"/>
  <c r="K64" i="2"/>
  <c r="I64" i="2"/>
  <c r="H64" i="2"/>
  <c r="AF63" i="2"/>
  <c r="AA63" i="2"/>
  <c r="T63" i="2"/>
  <c r="S63" i="2"/>
  <c r="R63" i="2"/>
  <c r="P63" i="2"/>
  <c r="O63" i="2"/>
  <c r="N63" i="2"/>
  <c r="M63" i="2"/>
  <c r="K63" i="2"/>
  <c r="I63" i="2"/>
  <c r="H63" i="2"/>
  <c r="AF62" i="2"/>
  <c r="AA62" i="2"/>
  <c r="T62" i="2"/>
  <c r="S62" i="2"/>
  <c r="R62" i="2"/>
  <c r="P62" i="2"/>
  <c r="O62" i="2"/>
  <c r="N62" i="2"/>
  <c r="M62" i="2"/>
  <c r="K62" i="2"/>
  <c r="I62" i="2"/>
  <c r="H62" i="2"/>
  <c r="AN61" i="2"/>
  <c r="AF61" i="2"/>
  <c r="AA61" i="2"/>
  <c r="T61" i="2"/>
  <c r="S61" i="2"/>
  <c r="R61" i="2"/>
  <c r="P61" i="2"/>
  <c r="N61" i="2"/>
  <c r="M61" i="2"/>
  <c r="K61" i="2"/>
  <c r="I61" i="2"/>
  <c r="H61" i="2"/>
  <c r="AN60" i="2"/>
  <c r="AF60" i="2"/>
  <c r="AA60" i="2"/>
  <c r="T60" i="2"/>
  <c r="S60" i="2"/>
  <c r="R60" i="2"/>
  <c r="P60" i="2"/>
  <c r="O60" i="2"/>
  <c r="N60" i="2"/>
  <c r="M60" i="2"/>
  <c r="K60" i="2"/>
  <c r="I60" i="2"/>
  <c r="H60" i="2"/>
  <c r="AF59" i="2"/>
  <c r="AA59" i="2"/>
  <c r="T59" i="2"/>
  <c r="S59" i="2"/>
  <c r="R59" i="2"/>
  <c r="P59" i="2"/>
  <c r="N59" i="2"/>
  <c r="M59" i="2"/>
  <c r="K59" i="2"/>
  <c r="I59" i="2"/>
  <c r="H59" i="2"/>
  <c r="AF58" i="2"/>
  <c r="AA58" i="2"/>
  <c r="T58" i="2"/>
  <c r="S58" i="2"/>
  <c r="R58" i="2"/>
  <c r="P58" i="2"/>
  <c r="N58" i="2"/>
  <c r="M58" i="2"/>
  <c r="K58" i="2"/>
  <c r="I58" i="2"/>
  <c r="H58" i="2"/>
  <c r="AF53" i="2"/>
  <c r="AB53" i="2"/>
  <c r="AA53" i="2"/>
  <c r="T53" i="2"/>
  <c r="R53" i="2"/>
  <c r="S53" i="2" s="1"/>
  <c r="P53" i="2"/>
  <c r="N53" i="2"/>
  <c r="M53" i="2"/>
  <c r="K53" i="2"/>
  <c r="I53" i="2"/>
  <c r="AF52" i="2"/>
  <c r="AB52" i="2"/>
  <c r="AA52" i="2"/>
  <c r="T52" i="2"/>
  <c r="S52" i="2"/>
  <c r="R52" i="2"/>
  <c r="P52" i="2"/>
  <c r="N52" i="2"/>
  <c r="M52" i="2"/>
  <c r="K52" i="2"/>
  <c r="I52" i="2"/>
  <c r="AF51" i="2"/>
  <c r="AB51" i="2"/>
  <c r="AA51" i="2"/>
  <c r="T51" i="2"/>
  <c r="S51" i="2"/>
  <c r="R51" i="2"/>
  <c r="P51" i="2"/>
  <c r="N51" i="2"/>
  <c r="M51" i="2"/>
  <c r="K51" i="2"/>
  <c r="I51" i="2"/>
  <c r="AF50" i="2"/>
  <c r="AA50" i="2"/>
  <c r="T50" i="2"/>
  <c r="R50" i="2"/>
  <c r="S50" i="2" s="1"/>
  <c r="P50" i="2"/>
  <c r="N50" i="2"/>
  <c r="M50" i="2"/>
  <c r="K50" i="2"/>
  <c r="I50" i="2"/>
  <c r="AN49" i="2"/>
  <c r="AF49" i="2"/>
  <c r="AA49" i="2"/>
  <c r="T49" i="2"/>
  <c r="R49" i="2"/>
  <c r="S49" i="2" s="1"/>
  <c r="P49" i="2"/>
  <c r="N49" i="2"/>
  <c r="M49" i="2"/>
  <c r="K49" i="2"/>
  <c r="I49" i="2"/>
  <c r="AN48" i="2"/>
  <c r="AF48" i="2"/>
  <c r="AA48" i="2"/>
  <c r="T48" i="2"/>
  <c r="R48" i="2"/>
  <c r="S48" i="2" s="1"/>
  <c r="P48" i="2"/>
  <c r="N48" i="2"/>
  <c r="M48" i="2"/>
  <c r="K48" i="2"/>
  <c r="I48" i="2"/>
  <c r="AF47" i="2"/>
  <c r="T47" i="2"/>
  <c r="L47" i="2" s="1"/>
  <c r="S47" i="2"/>
  <c r="R47" i="2"/>
  <c r="P47" i="2"/>
  <c r="N47" i="2"/>
  <c r="M47" i="2"/>
  <c r="K47" i="2"/>
  <c r="I47" i="2"/>
  <c r="AF46" i="2"/>
  <c r="T46" i="2"/>
  <c r="L46" i="2" s="1"/>
  <c r="S46" i="2"/>
  <c r="R46" i="2"/>
  <c r="P46" i="2"/>
  <c r="N46" i="2"/>
  <c r="M46" i="2"/>
  <c r="K46" i="2"/>
  <c r="I46" i="2"/>
  <c r="AF45" i="2"/>
  <c r="T45" i="2"/>
  <c r="L45" i="2" s="1"/>
  <c r="R45" i="2"/>
  <c r="S45" i="2" s="1"/>
  <c r="P45" i="2"/>
  <c r="N45" i="2"/>
  <c r="M45" i="2"/>
  <c r="K45" i="2"/>
  <c r="I45" i="2"/>
  <c r="AF44" i="2"/>
  <c r="T44" i="2"/>
  <c r="L44" i="2" s="1"/>
  <c r="R44" i="2"/>
  <c r="S44" i="2" s="1"/>
  <c r="P44" i="2"/>
  <c r="N44" i="2"/>
  <c r="M44" i="2"/>
  <c r="K44" i="2"/>
  <c r="I44" i="2"/>
  <c r="AF43" i="2"/>
  <c r="AB43" i="2"/>
  <c r="AA43" i="2"/>
  <c r="T43" i="2"/>
  <c r="S43" i="2"/>
  <c r="R43" i="2"/>
  <c r="P43" i="2"/>
  <c r="N43" i="2"/>
  <c r="M43" i="2"/>
  <c r="K43" i="2"/>
  <c r="I43" i="2"/>
  <c r="AF42" i="2"/>
  <c r="AB42" i="2"/>
  <c r="AA42" i="2"/>
  <c r="T42" i="2"/>
  <c r="S42" i="2"/>
  <c r="R42" i="2"/>
  <c r="P42" i="2"/>
  <c r="N42" i="2"/>
  <c r="M42" i="2"/>
  <c r="K42" i="2"/>
  <c r="I42" i="2"/>
  <c r="AF41" i="2"/>
  <c r="T41" i="2"/>
  <c r="L41" i="2" s="1"/>
  <c r="S41" i="2"/>
  <c r="R41" i="2"/>
  <c r="P41" i="2"/>
  <c r="N41" i="2"/>
  <c r="M41" i="2"/>
  <c r="K41" i="2"/>
  <c r="I41" i="2"/>
  <c r="AF40" i="2"/>
  <c r="T40" i="2"/>
  <c r="L40" i="2" s="1"/>
  <c r="R40" i="2"/>
  <c r="S40" i="2" s="1"/>
  <c r="P40" i="2"/>
  <c r="N40" i="2"/>
  <c r="M40" i="2"/>
  <c r="K40" i="2"/>
  <c r="I40" i="2"/>
  <c r="AF39" i="2"/>
  <c r="T39" i="2"/>
  <c r="L39" i="2" s="1"/>
  <c r="R39" i="2"/>
  <c r="S39" i="2" s="1"/>
  <c r="P39" i="2"/>
  <c r="N39" i="2"/>
  <c r="M39" i="2"/>
  <c r="K39" i="2"/>
  <c r="I39" i="2"/>
  <c r="AN38" i="2"/>
  <c r="AF38" i="2"/>
  <c r="AA38" i="2"/>
  <c r="T38" i="2"/>
  <c r="S38" i="2"/>
  <c r="R38" i="2"/>
  <c r="P38" i="2"/>
  <c r="N38" i="2"/>
  <c r="M38" i="2"/>
  <c r="K38" i="2"/>
  <c r="I38" i="2"/>
  <c r="AN37" i="2"/>
  <c r="AF37" i="2"/>
  <c r="AB37" i="2"/>
  <c r="AA37" i="2"/>
  <c r="T37" i="2"/>
  <c r="R37" i="2"/>
  <c r="S37" i="2" s="1"/>
  <c r="P37" i="2"/>
  <c r="N37" i="2"/>
  <c r="M37" i="2"/>
  <c r="K37" i="2"/>
  <c r="I37" i="2"/>
  <c r="AF36" i="2"/>
  <c r="AA36" i="2"/>
  <c r="T36" i="2"/>
  <c r="S36" i="2"/>
  <c r="R36" i="2"/>
  <c r="P36" i="2"/>
  <c r="N36" i="2"/>
  <c r="M36" i="2"/>
  <c r="K36" i="2"/>
  <c r="I36" i="2"/>
  <c r="AF35" i="2"/>
  <c r="AB35" i="2"/>
  <c r="AA35" i="2"/>
  <c r="T35" i="2"/>
  <c r="S35" i="2"/>
  <c r="R35" i="2"/>
  <c r="P35" i="2"/>
  <c r="N35" i="2"/>
  <c r="M35" i="2"/>
  <c r="K35" i="2"/>
  <c r="I35" i="2"/>
  <c r="AF34" i="2"/>
  <c r="AB34" i="2"/>
  <c r="AA34" i="2"/>
  <c r="T34" i="2"/>
  <c r="S34" i="2"/>
  <c r="R34" i="2"/>
  <c r="P34" i="2"/>
  <c r="N34" i="2"/>
  <c r="M34" i="2"/>
  <c r="K34" i="2"/>
  <c r="I34" i="2"/>
  <c r="AF33" i="2"/>
  <c r="AA33" i="2"/>
  <c r="T33" i="2"/>
  <c r="S33" i="2"/>
  <c r="R33" i="2"/>
  <c r="P33" i="2"/>
  <c r="N33" i="2"/>
  <c r="M33" i="2"/>
  <c r="K33" i="2"/>
  <c r="I33" i="2"/>
  <c r="AF32" i="2"/>
  <c r="AA32" i="2"/>
  <c r="T32" i="2"/>
  <c r="S32" i="2"/>
  <c r="R32" i="2"/>
  <c r="P32" i="2"/>
  <c r="N32" i="2"/>
  <c r="M32" i="2"/>
  <c r="K32" i="2"/>
  <c r="I32" i="2"/>
  <c r="AF31" i="2"/>
  <c r="AA31" i="2"/>
  <c r="T31" i="2"/>
  <c r="S31" i="2"/>
  <c r="R31" i="2"/>
  <c r="P31" i="2"/>
  <c r="N31" i="2"/>
  <c r="M31" i="2"/>
  <c r="K31" i="2"/>
  <c r="I31" i="2"/>
  <c r="AF30" i="2"/>
  <c r="AB30" i="2"/>
  <c r="AA30" i="2"/>
  <c r="T30" i="2"/>
  <c r="S30" i="2"/>
  <c r="R30" i="2"/>
  <c r="P30" i="2"/>
  <c r="N30" i="2"/>
  <c r="M30" i="2"/>
  <c r="K30" i="2"/>
  <c r="I30" i="2"/>
  <c r="AF29" i="2"/>
  <c r="AB29" i="2"/>
  <c r="AA29" i="2"/>
  <c r="T29" i="2"/>
  <c r="S29" i="2"/>
  <c r="R29" i="2"/>
  <c r="P29" i="2"/>
  <c r="N29" i="2"/>
  <c r="M29" i="2"/>
  <c r="K29" i="2"/>
  <c r="I29" i="2"/>
  <c r="AF28" i="2"/>
  <c r="AB28" i="2"/>
  <c r="AA28" i="2"/>
  <c r="T28" i="2"/>
  <c r="S28" i="2"/>
  <c r="R28" i="2"/>
  <c r="P28" i="2"/>
  <c r="N28" i="2"/>
  <c r="M28" i="2"/>
  <c r="K28" i="2"/>
  <c r="I28" i="2"/>
  <c r="AN27" i="2"/>
  <c r="AF27" i="2"/>
  <c r="AB27" i="2"/>
  <c r="AA27" i="2"/>
  <c r="T27" i="2"/>
  <c r="S27" i="2"/>
  <c r="R27" i="2"/>
  <c r="P27" i="2"/>
  <c r="N27" i="2"/>
  <c r="M27" i="2"/>
  <c r="K27" i="2"/>
  <c r="I27" i="2"/>
  <c r="AN26" i="2"/>
  <c r="AF26" i="2"/>
  <c r="AB26" i="2"/>
  <c r="AA26" i="2"/>
  <c r="T26" i="2"/>
  <c r="R26" i="2"/>
  <c r="S26" i="2" s="1"/>
  <c r="P26" i="2"/>
  <c r="N26" i="2"/>
  <c r="M26" i="2"/>
  <c r="K26" i="2"/>
  <c r="I26" i="2"/>
  <c r="AF25" i="2"/>
  <c r="AB25" i="2"/>
  <c r="AA25" i="2"/>
  <c r="T25" i="2"/>
  <c r="S25" i="2"/>
  <c r="R25" i="2"/>
  <c r="P25" i="2"/>
  <c r="N25" i="2"/>
  <c r="M25" i="2"/>
  <c r="K25" i="2"/>
  <c r="I25" i="2"/>
  <c r="AF24" i="2"/>
  <c r="AA24" i="2"/>
  <c r="T24" i="2"/>
  <c r="S24" i="2"/>
  <c r="R24" i="2"/>
  <c r="P24" i="2"/>
  <c r="N24" i="2"/>
  <c r="M24" i="2"/>
  <c r="K24" i="2"/>
  <c r="I24" i="2"/>
  <c r="AF23" i="2"/>
  <c r="AA23" i="2"/>
  <c r="T23" i="2"/>
  <c r="S23" i="2"/>
  <c r="R23" i="2"/>
  <c r="P23" i="2"/>
  <c r="N23" i="2"/>
  <c r="M23" i="2"/>
  <c r="K23" i="2"/>
  <c r="I23" i="2"/>
  <c r="AF22" i="2"/>
  <c r="AB22" i="2"/>
  <c r="AA22" i="2"/>
  <c r="T22" i="2"/>
  <c r="S22" i="2"/>
  <c r="R22" i="2"/>
  <c r="P22" i="2"/>
  <c r="N22" i="2"/>
  <c r="M22" i="2"/>
  <c r="K22" i="2"/>
  <c r="I22" i="2"/>
  <c r="AF21" i="2"/>
  <c r="AF83" i="2" s="1"/>
  <c r="AA83" i="2" s="1"/>
  <c r="AA21" i="2"/>
  <c r="T21" i="2"/>
  <c r="R21" i="2"/>
  <c r="S21" i="2" s="1"/>
  <c r="P21" i="2"/>
  <c r="P83" i="2" s="1"/>
  <c r="F94" i="2" s="1"/>
  <c r="N21" i="2"/>
  <c r="M21" i="2"/>
  <c r="M83" i="2" s="1"/>
  <c r="F93" i="2" s="1"/>
  <c r="C97" i="2" s="1"/>
  <c r="K21" i="2"/>
  <c r="K83" i="2" s="1"/>
  <c r="I21" i="2"/>
  <c r="I83" i="2" s="1"/>
  <c r="L75" i="2" l="1"/>
  <c r="F91" i="2"/>
  <c r="F90" i="2"/>
  <c r="F96" i="2" s="1"/>
  <c r="U77" i="2"/>
  <c r="U71" i="2"/>
  <c r="U49" i="2"/>
  <c r="U37" i="2"/>
  <c r="L37" i="2" s="1"/>
  <c r="U80" i="2"/>
  <c r="L80" i="2" s="1"/>
  <c r="U66" i="2"/>
  <c r="L66" i="2" s="1"/>
  <c r="U63" i="2"/>
  <c r="L63" i="2" s="1"/>
  <c r="U35" i="2"/>
  <c r="L35" i="2" s="1"/>
  <c r="U28" i="2"/>
  <c r="L28" i="2" s="1"/>
  <c r="U75" i="2"/>
  <c r="U69" i="2"/>
  <c r="L69" i="2" s="1"/>
  <c r="U59" i="2"/>
  <c r="U52" i="2"/>
  <c r="L52" i="2" s="1"/>
  <c r="U43" i="2"/>
  <c r="L43" i="2" s="1"/>
  <c r="U38" i="2"/>
  <c r="L38" i="2" s="1"/>
  <c r="U33" i="2"/>
  <c r="L33" i="2" s="1"/>
  <c r="U31" i="2"/>
  <c r="L31" i="2" s="1"/>
  <c r="U25" i="2"/>
  <c r="L25" i="2" s="1"/>
  <c r="U23" i="2"/>
  <c r="L23" i="2" s="1"/>
  <c r="U61" i="2"/>
  <c r="U34" i="2"/>
  <c r="U78" i="2"/>
  <c r="L78" i="2" s="1"/>
  <c r="U72" i="2"/>
  <c r="L72" i="2" s="1"/>
  <c r="U50" i="2"/>
  <c r="L50" i="2" s="1"/>
  <c r="U21" i="2"/>
  <c r="L21" i="2" s="1"/>
  <c r="U81" i="2"/>
  <c r="L81" i="2" s="1"/>
  <c r="U67" i="2"/>
  <c r="L67" i="2" s="1"/>
  <c r="U64" i="2"/>
  <c r="L64" i="2" s="1"/>
  <c r="U60" i="2"/>
  <c r="L60" i="2" s="1"/>
  <c r="U36" i="2"/>
  <c r="L36" i="2" s="1"/>
  <c r="U29" i="2"/>
  <c r="L29" i="2" s="1"/>
  <c r="U24" i="2"/>
  <c r="L24" i="2" s="1"/>
  <c r="U76" i="2"/>
  <c r="U73" i="2"/>
  <c r="L73" i="2" s="1"/>
  <c r="U70" i="2"/>
  <c r="U53" i="2"/>
  <c r="L53" i="2" s="1"/>
  <c r="U48" i="2"/>
  <c r="U26" i="2"/>
  <c r="U79" i="2"/>
  <c r="L79" i="2" s="1"/>
  <c r="U65" i="2"/>
  <c r="L65" i="2" s="1"/>
  <c r="U32" i="2"/>
  <c r="L32" i="2" s="1"/>
  <c r="U74" i="2"/>
  <c r="L74" i="2" s="1"/>
  <c r="U68" i="2"/>
  <c r="L68" i="2" s="1"/>
  <c r="U62" i="2"/>
  <c r="U58" i="2"/>
  <c r="L58" i="2" s="1"/>
  <c r="U51" i="2"/>
  <c r="L51" i="2" s="1"/>
  <c r="U42" i="2"/>
  <c r="L42" i="2" s="1"/>
  <c r="U30" i="2"/>
  <c r="L30" i="2" s="1"/>
  <c r="U27" i="2"/>
  <c r="L27" i="2" s="1"/>
  <c r="U22" i="2"/>
  <c r="L22" i="2" s="1"/>
  <c r="L34" i="2"/>
  <c r="L62" i="2"/>
  <c r="L76" i="2"/>
  <c r="F95" i="2"/>
  <c r="F92" i="2"/>
  <c r="L26" i="2"/>
  <c r="L48" i="2"/>
  <c r="L70" i="2"/>
  <c r="L77" i="2"/>
  <c r="L49" i="2"/>
  <c r="L59" i="2"/>
  <c r="L61" i="2"/>
  <c r="L71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stage.maverick.bayer.us</author>
    <author>Robert McNamara</author>
  </authors>
  <commentList>
    <comment ref="G22" authorId="0" shapeId="0" xr:uid="{C5F42705-4A9D-4F82-B1E5-964605163F18}">
      <text>
        <r>
          <rPr>
            <b/>
            <u/>
            <sz val="9"/>
            <color rgb="FF000000"/>
            <rFont val="Tahoma"/>
            <family val="2"/>
          </rPr>
          <t>Rebate Finder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Note: To qualify for this item's select rebate, you must add minimum of 4 units.</t>
        </r>
      </text>
    </comment>
    <comment ref="G23" authorId="1" shapeId="0" xr:uid="{39BCF452-1EBD-483C-82E6-227E51A41997}">
      <text>
        <r>
          <rPr>
            <b/>
            <u/>
            <sz val="9"/>
            <color indexed="81"/>
            <rFont val="Tahoma"/>
            <family val="2"/>
          </rPr>
          <t>Rebate Finder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Note: To qualify for this item's select rebate, you must add minimum of 1 units.</t>
        </r>
      </text>
    </comment>
    <comment ref="G24" authorId="1" shapeId="0" xr:uid="{5DA47418-3F27-45DB-AE0D-9A927A688270}">
      <text>
        <r>
          <rPr>
            <b/>
            <u/>
            <sz val="9"/>
            <color indexed="81"/>
            <rFont val="Tahoma"/>
            <family val="2"/>
          </rPr>
          <t>Rebate Finder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Note: To qualify for this item's select rebate, you must add minimum of 1 units.</t>
        </r>
      </text>
    </comment>
    <comment ref="G25" authorId="1" shapeId="0" xr:uid="{7AEBCC10-7BCC-4244-B46F-E8D3BB0039AD}">
      <text>
        <r>
          <rPr>
            <b/>
            <u/>
            <sz val="9"/>
            <color indexed="81"/>
            <rFont val="Tahoma"/>
            <family val="2"/>
          </rPr>
          <t>Rebate Finder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Note: To qualify for this item's select rebate, you must add minimum of 16 units.</t>
        </r>
      </text>
    </comment>
    <comment ref="G26" authorId="1" shapeId="0" xr:uid="{D97B66A4-43A2-414A-AA59-04EA8E0F352E}">
      <text>
        <r>
          <rPr>
            <b/>
            <u/>
            <sz val="9"/>
            <color indexed="81"/>
            <rFont val="Tahoma"/>
            <family val="2"/>
          </rPr>
          <t>Rebate Finder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Note: To qualify for this item's select rebate, you must add minimum of 16 units.</t>
        </r>
      </text>
    </comment>
    <comment ref="G30" authorId="1" shapeId="0" xr:uid="{4C5C7D79-F6E0-4E56-ADCA-85A62C15A1A1}">
      <text>
        <r>
          <rPr>
            <b/>
            <u/>
            <sz val="9"/>
            <color indexed="81"/>
            <rFont val="Tahoma"/>
            <family val="2"/>
          </rPr>
          <t>Rebate Finder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Note: To qualify for this item's select rebate, you must add minimum of 16 units.</t>
        </r>
      </text>
    </comment>
    <comment ref="G31" authorId="1" shapeId="0" xr:uid="{08A19865-CBFE-48E4-A81E-5698EF85DC91}">
      <text>
        <r>
          <rPr>
            <b/>
            <u/>
            <sz val="9"/>
            <color indexed="81"/>
            <rFont val="Tahoma"/>
            <family val="2"/>
          </rPr>
          <t>Rebate Finder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Note: To qualify for this item's select rebate, you must add minimum of 8 units.</t>
        </r>
      </text>
    </comment>
    <comment ref="G34" authorId="0" shapeId="0" xr:uid="{816C28E1-540A-4986-A96E-DF9F89D58ABF}">
      <text>
        <r>
          <rPr>
            <b/>
            <u/>
            <sz val="9"/>
            <color rgb="FF000000"/>
            <rFont val="Tahoma"/>
            <family val="2"/>
          </rPr>
          <t>Rebate Finder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Note: To qualify for this item's select rebate, you must add minimum of 2 units.</t>
        </r>
      </text>
    </comment>
    <comment ref="G35" authorId="0" shapeId="0" xr:uid="{D5C06FDE-366C-4920-BABE-C731F2E33C96}">
      <text>
        <r>
          <rPr>
            <b/>
            <u/>
            <sz val="9"/>
            <color rgb="FF000000"/>
            <rFont val="Tahoma"/>
            <family val="2"/>
          </rPr>
          <t>Rebate Finder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Note: To qualify for this item's select rebate, you must add minimum of 2 units.</t>
        </r>
      </text>
    </comment>
    <comment ref="G36" authorId="1" shapeId="0" xr:uid="{F7C61B6B-199E-45E3-A83D-3C63D4F6D700}">
      <text>
        <r>
          <rPr>
            <b/>
            <u/>
            <sz val="9"/>
            <color indexed="81"/>
            <rFont val="Tahoma"/>
            <family val="2"/>
          </rPr>
          <t>Rebate Finder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Note: To qualify for this item's select rebate, you must add minimum of 1 units.</t>
        </r>
      </text>
    </comment>
    <comment ref="G37" authorId="0" shapeId="0" xr:uid="{FABA9515-6F83-4AE5-8CDC-598444D15AAE}">
      <text>
        <r>
          <rPr>
            <b/>
            <u/>
            <sz val="9"/>
            <color rgb="FF000000"/>
            <rFont val="Tahoma"/>
            <family val="2"/>
          </rPr>
          <t>Rebate Finder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Note: To qualify for this item's select rebate, you must add minimum of 1 units.</t>
        </r>
      </text>
    </comment>
    <comment ref="G39" authorId="1" shapeId="0" xr:uid="{28265B05-2692-4C4A-94C2-334461664D51}">
      <text>
        <r>
          <rPr>
            <b/>
            <sz val="9"/>
            <color indexed="81"/>
            <rFont val="Tahoma"/>
            <family val="2"/>
          </rPr>
          <t>Purchases count towards rebate tier, but do not receive tier rebate</t>
        </r>
      </text>
    </comment>
    <comment ref="G40" authorId="1" shapeId="0" xr:uid="{60E61B4C-B4F1-4966-B192-6FE8BCCA034C}">
      <text>
        <r>
          <rPr>
            <b/>
            <sz val="9"/>
            <color indexed="81"/>
            <rFont val="Tahoma"/>
            <family val="2"/>
          </rPr>
          <t>Purchases count towards rebate tier, but do not receive tier rebate</t>
        </r>
      </text>
    </comment>
    <comment ref="G41" authorId="1" shapeId="0" xr:uid="{4E56FD2A-4532-41E3-A4EC-D942CF6A072D}">
      <text>
        <r>
          <rPr>
            <b/>
            <sz val="9"/>
            <color indexed="81"/>
            <rFont val="Tahoma"/>
            <family val="2"/>
          </rPr>
          <t>Purchases count towards rebate tier, but do not receive tier rebate</t>
        </r>
      </text>
    </comment>
    <comment ref="G42" authorId="0" shapeId="0" xr:uid="{CC79FFCE-C985-4B51-A9AB-D3C67AC008A8}">
      <text>
        <r>
          <rPr>
            <b/>
            <u/>
            <sz val="9"/>
            <color rgb="FF000000"/>
            <rFont val="Tahoma"/>
            <family val="2"/>
          </rPr>
          <t>Rebate Finder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Note: To qualify for this item's select rebate, you must add minimum of 4 units.</t>
        </r>
      </text>
    </comment>
    <comment ref="G43" authorId="0" shapeId="0" xr:uid="{8FDF3598-19CB-4CD6-954E-2C8149B87288}">
      <text>
        <r>
          <rPr>
            <b/>
            <u/>
            <sz val="9"/>
            <color rgb="FF000000"/>
            <rFont val="Tahoma"/>
            <family val="2"/>
          </rPr>
          <t>Rebate Finder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Note: To qualify for this item's select rebate, you must add minimum of 4 units.</t>
        </r>
      </text>
    </comment>
    <comment ref="G44" authorId="1" shapeId="0" xr:uid="{E8571D6E-03EE-4F02-9F8B-7524941F2C1D}">
      <text>
        <r>
          <rPr>
            <b/>
            <sz val="9"/>
            <color indexed="81"/>
            <rFont val="Tahoma"/>
            <family val="2"/>
          </rPr>
          <t>Purchases count towards rebate tier, but do not receive tier rebate</t>
        </r>
      </text>
    </comment>
    <comment ref="G45" authorId="1" shapeId="0" xr:uid="{4E7F5F5F-CBAB-40F8-A2D0-C2E409BA5A2C}">
      <text>
        <r>
          <rPr>
            <b/>
            <sz val="9"/>
            <color indexed="81"/>
            <rFont val="Tahoma"/>
            <family val="2"/>
          </rPr>
          <t>Purchases count towards rebate tier, but do not receive tier rebate</t>
        </r>
      </text>
    </comment>
    <comment ref="G46" authorId="1" shapeId="0" xr:uid="{8EC935EC-35A1-4A7A-B2B7-DBED22D7EE0B}">
      <text>
        <r>
          <rPr>
            <b/>
            <sz val="9"/>
            <color indexed="81"/>
            <rFont val="Tahoma"/>
            <family val="2"/>
          </rPr>
          <t>Purchases count towards rebate tier, but do not receive tier rebate</t>
        </r>
      </text>
    </comment>
    <comment ref="G47" authorId="1" shapeId="0" xr:uid="{05B9310A-5C95-4574-814A-2BC35F1B6D95}">
      <text>
        <r>
          <rPr>
            <b/>
            <sz val="9"/>
            <color indexed="81"/>
            <rFont val="Tahoma"/>
            <family val="2"/>
          </rPr>
          <t>Purchases count towards rebate tier, but do not receive tier rebate</t>
        </r>
      </text>
    </comment>
    <comment ref="G49" authorId="0" shapeId="0" xr:uid="{7E09FFF7-FC8F-4B40-9D59-69D1C5D3B365}">
      <text>
        <r>
          <rPr>
            <b/>
            <u/>
            <sz val="9"/>
            <color rgb="FF000000"/>
            <rFont val="Tahoma"/>
            <family val="2"/>
          </rPr>
          <t>Rebate Finder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Note: To qualify for this item's select rebate, you must add minimum of 10 units.</t>
        </r>
      </text>
    </comment>
    <comment ref="G50" authorId="1" shapeId="0" xr:uid="{AD7F52FD-115F-4F91-A918-2487A6AD1E57}">
      <text>
        <r>
          <rPr>
            <b/>
            <u/>
            <sz val="9"/>
            <color indexed="81"/>
            <rFont val="Tahoma"/>
            <family val="2"/>
          </rPr>
          <t>Rebate Finder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Note: To qualify for this item's select rebate, you must add minimum of 1 units.</t>
        </r>
      </text>
    </comment>
    <comment ref="G51" authorId="1" shapeId="0" xr:uid="{1AC9887B-3AF9-491C-A110-F20D05B76D72}">
      <text>
        <r>
          <rPr>
            <b/>
            <u/>
            <sz val="9"/>
            <color indexed="81"/>
            <rFont val="Tahoma"/>
            <family val="2"/>
          </rPr>
          <t>Rebate Finder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Note: To qualify for this item's select rebate, you must add minimum of 1 units.</t>
        </r>
      </text>
    </comment>
    <comment ref="G58" authorId="1" shapeId="0" xr:uid="{CCE40C16-0CC0-47BB-A133-CFC9FFB2DD2A}">
      <text>
        <r>
          <rPr>
            <b/>
            <u/>
            <sz val="9"/>
            <color indexed="81"/>
            <rFont val="Tahoma"/>
            <family val="2"/>
          </rPr>
          <t>Rebate Finder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Note: To qualify for this item's select rebate, you must add minimum of 1 units.</t>
        </r>
      </text>
    </comment>
    <comment ref="G59" authorId="1" shapeId="0" xr:uid="{B5A477F3-C4B1-4E00-9B7B-F24730A68CAF}">
      <text>
        <r>
          <rPr>
            <b/>
            <u/>
            <sz val="9"/>
            <color indexed="81"/>
            <rFont val="Tahoma"/>
            <family val="2"/>
          </rPr>
          <t>Rebate Finder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Note: To qualify for this item's select rebate, you must add minimum of 1 units.</t>
        </r>
      </text>
    </comment>
    <comment ref="G61" authorId="1" shapeId="0" xr:uid="{8832682E-8903-4868-BD9C-114AA2C562A6}">
      <text>
        <r>
          <rPr>
            <b/>
            <u/>
            <sz val="9"/>
            <color indexed="81"/>
            <rFont val="Tahoma"/>
            <family val="2"/>
          </rPr>
          <t>Rebate Finder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Note: To qualify for this item's select rebate, you must add minimum of 1 units.</t>
        </r>
      </text>
    </comment>
    <comment ref="G64" authorId="1" shapeId="0" xr:uid="{EC383412-D988-444A-BF08-81EE86614181}">
      <text>
        <r>
          <rPr>
            <b/>
            <u/>
            <sz val="9"/>
            <color indexed="81"/>
            <rFont val="Tahoma"/>
            <family val="2"/>
          </rPr>
          <t>Rebate Finder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Note: To qualify for this item's select rebate, you must add minimum of 1 units.</t>
        </r>
      </text>
    </comment>
    <comment ref="G82" authorId="1" shapeId="0" xr:uid="{D325E5DD-7071-4278-A7E9-5A71EB92E3DA}">
      <text>
        <r>
          <rPr>
            <b/>
            <sz val="9"/>
            <color indexed="81"/>
            <rFont val="Tahoma"/>
            <family val="2"/>
          </rPr>
          <t>Purchases count towards rebate tier, but do not receive tier rebate</t>
        </r>
      </text>
    </comment>
  </commentList>
</comments>
</file>

<file path=xl/sharedStrings.xml><?xml version="1.0" encoding="utf-8"?>
<sst xmlns="http://schemas.openxmlformats.org/spreadsheetml/2006/main" count="559" uniqueCount="271">
  <si>
    <t>Fall Solutions 2021</t>
  </si>
  <si>
    <t>Must be registered in My Bayer Rewards and accept current Terms and Conditions to participate. Customer Fall Solutions and NOW Solutions promotional cumulative purchases (August 1 - December 6, 2021) must be $5,000 or more to qualify for Purchase Tier Rebate. Specticle® FLO, Ronstar® and TopChoice® purchases count towards rebate tier, but do not receive tier rebate.</t>
  </si>
  <si>
    <t>[Customer Name City, State]</t>
  </si>
  <si>
    <t>TOTAL PURCHASE</t>
  </si>
  <si>
    <t>MINIMUM</t>
  </si>
  <si>
    <t>MAXIMUM</t>
  </si>
  <si>
    <t>REBATE %</t>
  </si>
  <si>
    <t>[Product Cart Name]</t>
  </si>
  <si>
    <r>
      <rPr>
        <b/>
        <sz val="10"/>
        <color rgb="FF000000"/>
        <rFont val="Calibri"/>
        <family val="2"/>
      </rPr>
      <t>Description</t>
    </r>
    <r>
      <rPr>
        <sz val="10"/>
        <color rgb="FF000000"/>
        <rFont val="Calibri"/>
        <family val="2"/>
      </rPr>
      <t>: [Insert Description]</t>
    </r>
  </si>
  <si>
    <r>
      <rPr>
        <b/>
        <sz val="10"/>
        <color rgb="FF000000"/>
        <rFont val="Calibri"/>
        <family val="2"/>
      </rPr>
      <t>Distributor/DSR</t>
    </r>
    <r>
      <rPr>
        <sz val="10"/>
        <color rgb="FF000000"/>
        <rFont val="Calibri"/>
        <family val="2"/>
      </rPr>
      <t>: [Insert Here]</t>
    </r>
  </si>
  <si>
    <r>
      <rPr>
        <b/>
        <sz val="10"/>
        <color rgb="FF000000"/>
        <rFont val="Calibri"/>
        <family val="2"/>
      </rPr>
      <t>MBR#</t>
    </r>
    <r>
      <rPr>
        <sz val="10"/>
        <color rgb="FF000000"/>
        <rFont val="Calibri"/>
        <family val="2"/>
      </rPr>
      <t>: [Insert Here]</t>
    </r>
  </si>
  <si>
    <r>
      <rPr>
        <b/>
        <sz val="10"/>
        <color rgb="FF000000"/>
        <rFont val="Calibri"/>
        <family val="2"/>
      </rPr>
      <t>Last Updated</t>
    </r>
    <r>
      <rPr>
        <sz val="10"/>
        <color rgb="FF000000"/>
        <rFont val="Calibri"/>
        <family val="2"/>
      </rPr>
      <t>: 7/31/2021 12:14:23 PM</t>
    </r>
  </si>
  <si>
    <r>
      <rPr>
        <b/>
        <sz val="10"/>
        <color rgb="FF000000"/>
        <rFont val="Calibri"/>
        <family val="2"/>
      </rPr>
      <t>Created For</t>
    </r>
    <r>
      <rPr>
        <sz val="10"/>
        <color rgb="FF000000"/>
        <rFont val="Calibri"/>
        <family val="2"/>
      </rPr>
      <t>: [Insert Here]</t>
    </r>
  </si>
  <si>
    <t>Product Cart Line Items</t>
  </si>
  <si>
    <t>Agronomic Pairing Incentives</t>
  </si>
  <si>
    <r>
      <rPr>
        <sz val="14"/>
        <color rgb="FF064121"/>
        <rFont val="Calibri"/>
        <family val="2"/>
      </rPr>
      <t xml:space="preserve">Add the </t>
    </r>
    <r>
      <rPr>
        <b/>
        <u val="double"/>
        <sz val="14"/>
        <color rgb="FF064121"/>
        <rFont val="Calibri"/>
        <family val="2"/>
      </rPr>
      <t>quantity</t>
    </r>
    <r>
      <rPr>
        <sz val="14"/>
        <color rgb="FF064121"/>
        <rFont val="Calibri"/>
        <family val="2"/>
      </rPr>
      <t xml:space="preserve"> of the agronomic solutions to the #units column for a rebate estimate.</t>
    </r>
  </si>
  <si>
    <t>AGENCY PRODUCTS</t>
  </si>
  <si>
    <t>QUALIFIES AUG-SEP</t>
  </si>
  <si>
    <t>QUALIFIES OCT-DEC</t>
  </si>
  <si>
    <t>PRODUCT ID</t>
  </si>
  <si>
    <t>PRODUCT NAME</t>
  </si>
  <si>
    <t>UNIT SIZE</t>
  </si>
  <si>
    <t># UNITS</t>
  </si>
  <si>
    <t>INSEASON PRICE</t>
  </si>
  <si>
    <t>INSEASON SUBTOTAL</t>
  </si>
  <si>
    <t>PRICE/UNIT</t>
  </si>
  <si>
    <t>SUBTOTAL</t>
  </si>
  <si>
    <t>REBATE AMOUNT</t>
  </si>
  <si>
    <t>NET PRICE/UNIT</t>
  </si>
  <si>
    <t>REBATE PRICE/UNIT</t>
  </si>
  <si>
    <t>TOTAL AFTER REBATE</t>
  </si>
  <si>
    <t>USE RATE / 1,000 FT2</t>
  </si>
  <si>
    <t>USE RATE / ACRE</t>
  </si>
  <si>
    <t>TOTAL ACRES TREATED</t>
  </si>
  <si>
    <t>GRADUATED</t>
  </si>
  <si>
    <t>HIGH VOLUME</t>
  </si>
  <si>
    <t>LIGHTHOUSE</t>
  </si>
  <si>
    <t>MULTIPLE BRAND</t>
  </si>
  <si>
    <t>CATEGORY MIX</t>
  </si>
  <si>
    <t>STRATEGIC BUNDLE</t>
  </si>
  <si>
    <t>PAIRING</t>
  </si>
  <si>
    <t>PRIOR YEAR</t>
  </si>
  <si>
    <t>SALES GROWTH</t>
  </si>
  <si>
    <t>MAX REBATE</t>
  </si>
  <si>
    <t>REBATE ELIGIBLE</t>
  </si>
  <si>
    <t>GRADUATED RANGE</t>
  </si>
  <si>
    <t>Dual Defense Solution</t>
  </si>
  <si>
    <t>549204dd-4d35-443d-933e-1b6fecb6338d</t>
  </si>
  <si>
    <t>Altus SL</t>
  </si>
  <si>
    <t>64 oz. bottle</t>
  </si>
  <si>
    <t>bbcbe6c4-9047-423b-99f0-a244017febad</t>
  </si>
  <si>
    <t>Banol®</t>
  </si>
  <si>
    <t>2.5 gal. bottle</t>
  </si>
  <si>
    <t>Rebates!I4:K4</t>
  </si>
  <si>
    <t>c7bd22d2-8a58-4fa3-99f1-7d4802401c08</t>
  </si>
  <si>
    <t>Bayleton® FLO (1-2 units)</t>
  </si>
  <si>
    <t>Rebates!I11:K12</t>
  </si>
  <si>
    <t>Bayleton® FLO (3+ units)</t>
  </si>
  <si>
    <t>541c0a70-a5c3-4665-ac65-274a6bbef5f7</t>
  </si>
  <si>
    <t>Celsius® WG</t>
  </si>
  <si>
    <t>10 oz. bottle</t>
  </si>
  <si>
    <t>Rebates!I17:K17</t>
  </si>
  <si>
    <t>Agency Products</t>
  </si>
  <si>
    <t>GAL/OZ/LB</t>
  </si>
  <si>
    <t>TOTAL ACRES</t>
  </si>
  <si>
    <t>03211b71-991c-4cfe-8e7a-e26b7b4bf851</t>
  </si>
  <si>
    <t>Chipco® Signature™ (1-2 units)</t>
  </si>
  <si>
    <t>8 X 5.5 lb. case</t>
  </si>
  <si>
    <t>Celsius® WG 10 oz. bottle</t>
  </si>
  <si>
    <t>160 OZ.</t>
  </si>
  <si>
    <t>Chipco® Signature™ (3+ units)</t>
  </si>
  <si>
    <t>Specticle® FLO 1 gal. bottle</t>
  </si>
  <si>
    <t>1 gal. bottle</t>
  </si>
  <si>
    <t>2 GAL.</t>
  </si>
  <si>
    <t>bb9fa8d0-6e6d-47ce-b0ff-339138b8c32c</t>
  </si>
  <si>
    <t>Exteris® Stressgard®</t>
  </si>
  <si>
    <t>Rebates!I13:K13</t>
  </si>
  <si>
    <t>Non-Agency Products</t>
  </si>
  <si>
    <t>04bb62fc-7d6d-4969-8102-baaae9d7ab8f</t>
  </si>
  <si>
    <t>Fiata® Stressgard®</t>
  </si>
  <si>
    <t>Rebates!I14:K14</t>
  </si>
  <si>
    <t>No non-agency products in this solution.</t>
  </si>
  <si>
    <t>93aff452-86a9-4dad-b6b1-b3eca2654a1a</t>
  </si>
  <si>
    <t>Indemnify® (1-5 units)</t>
  </si>
  <si>
    <t>17.1 oz. bottle</t>
  </si>
  <si>
    <t>Indemnify® (6+ units)</t>
  </si>
  <si>
    <t>Fairway Solution</t>
  </si>
  <si>
    <t>70bae14d-c623-41e5-be1f-b253040df11b</t>
  </si>
  <si>
    <t>Interface® Stressgard® (1-5 units)</t>
  </si>
  <si>
    <t>Rebates!I5:K6</t>
  </si>
  <si>
    <t>Interface® Stressgard® (6+ units)</t>
  </si>
  <si>
    <t>3ecfc763-a4fa-4f2c-8555-2d2b85247f56</t>
  </si>
  <si>
    <t>Merit® 75 WSP Mega Mini</t>
  </si>
  <si>
    <t>110 X 1.6 oz. drum</t>
  </si>
  <si>
    <t>Rebates!I19:K19</t>
  </si>
  <si>
    <t>e5cf993c-f4be-4b17-9a11-7be12af96da8</t>
  </si>
  <si>
    <t>Mirage® Stressgard®</t>
  </si>
  <si>
    <t>Rebates!I7:K7</t>
  </si>
  <si>
    <t>45ab34ad-77f7-4bb9-9ade-ac3a8c834e8e</t>
  </si>
  <si>
    <t>Revolver®</t>
  </si>
  <si>
    <t>87 oz. bottle</t>
  </si>
  <si>
    <t>00d257b7-e804-4171-8234-1010e37380b4</t>
  </si>
  <si>
    <t>Ronstar® FLO (1-11 units)</t>
  </si>
  <si>
    <t>Exteris® Stressgard® 2.5 gal. bottle</t>
  </si>
  <si>
    <t>40 GAL.</t>
  </si>
  <si>
    <t>Ronstar® FLO (12-39 units)</t>
  </si>
  <si>
    <t>Tartan® Stressgard® 2.5 gal. bottle</t>
  </si>
  <si>
    <t>15 GAL.</t>
  </si>
  <si>
    <t>Ronstar® FLO (40+ units)</t>
  </si>
  <si>
    <t>1f082954-d8b1-47a3-9296-2f7fde5fd2c5</t>
  </si>
  <si>
    <t>Signature™ XTRA Stressgard® (1-23 units)</t>
  </si>
  <si>
    <t>5.5 lb. bottle</t>
  </si>
  <si>
    <t>Rebates!I8:K9</t>
  </si>
  <si>
    <t>Signature™ XTRA Stressgard® (24+ units)</t>
  </si>
  <si>
    <t>e5befeaa-55cf-4e18-a5f9-2906e26590d4</t>
  </si>
  <si>
    <t>Specticle® FLO (1-3 units)</t>
  </si>
  <si>
    <t xml:space="preserve">1 gal. bottle </t>
  </si>
  <si>
    <t>Specticle® FLO (4-13 units)</t>
  </si>
  <si>
    <t>PRE3 Solution</t>
  </si>
  <si>
    <t>Specticle® FLO (14-25 units)</t>
  </si>
  <si>
    <t>Specticle® FLO (26+ units)</t>
  </si>
  <si>
    <t>8fa6c6ef-d4bb-4047-a4e8-3a7aebfa2cf1</t>
  </si>
  <si>
    <t>Specticle® FLO</t>
  </si>
  <si>
    <t>18 oz. bottle</t>
  </si>
  <si>
    <t>08caf272-b02e-4190-848a-f1b1d33ebb26</t>
  </si>
  <si>
    <t>Specticle® G</t>
  </si>
  <si>
    <t>50 lb. bag</t>
  </si>
  <si>
    <t>Rebates!I10:K10</t>
  </si>
  <si>
    <t>eb8e2e44-8d24-45e5-893d-bf9f4e4e5cd9</t>
  </si>
  <si>
    <t>Tartan® Stressgard® (1-5 units)</t>
  </si>
  <si>
    <t>Rebates!I15:K16</t>
  </si>
  <si>
    <t>Tartan® Stressgard® (6+ units)</t>
  </si>
  <si>
    <t xml:space="preserve">Specticle® FLO 1 gal. bottle </t>
  </si>
  <si>
    <t>372f672d-e4a1-4dae-9406-dc204b119e0a</t>
  </si>
  <si>
    <t>Tribute® Total</t>
  </si>
  <si>
    <t>6 oz. bottle</t>
  </si>
  <si>
    <t>Tribute® Total 6 oz. bottle</t>
  </si>
  <si>
    <t>36 FL OZ.</t>
  </si>
  <si>
    <t>NON-AGENCY PRODUCTS</t>
  </si>
  <si>
    <t>079e45c8-d3d1-4618-a542-d3b3477937fc</t>
  </si>
  <si>
    <t>26GT®</t>
  </si>
  <si>
    <t>Rebates!I20:K20</t>
  </si>
  <si>
    <t>Pythium Solution</t>
  </si>
  <si>
    <t>7956fbac-af4a-4747-8bf5-aebc72eac622</t>
  </si>
  <si>
    <t>Armada® 50 WDG</t>
  </si>
  <si>
    <t>2 lb. bottle</t>
  </si>
  <si>
    <t>Rebates!I23:K23</t>
  </si>
  <si>
    <t>567c6059-b013-4892-a34a-e2b32c2b6365</t>
  </si>
  <si>
    <t>Chipco® 26019 FLO</t>
  </si>
  <si>
    <t>1fa552b6-96c0-4541-bed3-e8d2d9c2acdd</t>
  </si>
  <si>
    <t>Chipco® Sevin®</t>
  </si>
  <si>
    <t>b357401c-a798-4687-8b1a-f17fc0e1b8e6</t>
  </si>
  <si>
    <t>Compass® 50 WG</t>
  </si>
  <si>
    <t>1 lb. bottle</t>
  </si>
  <si>
    <t>Rebates!I21:K21</t>
  </si>
  <si>
    <t>Banol® 2.5 gal. bottle</t>
  </si>
  <si>
    <t>10 GAL.</t>
  </si>
  <si>
    <t>43f88333-aa95-4475-921e-66f79bcd0968</t>
  </si>
  <si>
    <t>Coretect®</t>
  </si>
  <si>
    <t>250 tablet bottle</t>
  </si>
  <si>
    <t>Chipco® Signature™ 8 X 5.5 lb. case</t>
  </si>
  <si>
    <t>132 LB.</t>
  </si>
  <si>
    <t>81f25f62-c7a5-424a-bc95-a312e7d6b23a</t>
  </si>
  <si>
    <t>Forbid®</t>
  </si>
  <si>
    <t>8 oz. bottle</t>
  </si>
  <si>
    <t>5aa1eb98-ef18-4472-8f2c-518bdf8c5f4f</t>
  </si>
  <si>
    <t>Merit® 0.5 G</t>
  </si>
  <si>
    <t>30 lb. bag</t>
  </si>
  <si>
    <t>7a2e67b5-936d-471d-9338-b44133342863</t>
  </si>
  <si>
    <t>Merit® 2F</t>
  </si>
  <si>
    <t>fa7c449b-a709-4983-8e10-a89adf365744</t>
  </si>
  <si>
    <t>Merit® WP</t>
  </si>
  <si>
    <t>4 x 1.6 oz. bag</t>
  </si>
  <si>
    <t>fc309c31-5dc4-4467-8188-7fed19174648</t>
  </si>
  <si>
    <t>Prograss®</t>
  </si>
  <si>
    <t>Pythium XTRA Solution</t>
  </si>
  <si>
    <t>fb5272cc-648a-4edf-ac50-6ba21a90b946</t>
  </si>
  <si>
    <t>ProStar® 70 WG</t>
  </si>
  <si>
    <t>3 lb. bottle</t>
  </si>
  <si>
    <t>53fdd107-43a9-40a2-b52d-232b5e4abb44</t>
  </si>
  <si>
    <t>Proxy®</t>
  </si>
  <si>
    <t>d2c53017-6358-45e5-843e-aab1d753a7f1</t>
  </si>
  <si>
    <t>32 oz. bottle</t>
  </si>
  <si>
    <t>d2ced483-c28f-46de-b0e1-4c60da2a8121</t>
  </si>
  <si>
    <t>Rhapsody®</t>
  </si>
  <si>
    <t>3915a8f5-e760-461c-ae35-f07656ab4f7c</t>
  </si>
  <si>
    <t>Specticle® Total</t>
  </si>
  <si>
    <t>144 oz. bottle</t>
  </si>
  <si>
    <t>69db8c39-a6fc-4d9c-8218-3a9e92712340</t>
  </si>
  <si>
    <t>Tempo® Ultra SC</t>
  </si>
  <si>
    <t>240 ml bottle</t>
  </si>
  <si>
    <t>Signature™ XTRA Stressgard® 5.5 lb. bottle</t>
  </si>
  <si>
    <t>f319346d-803f-4023-b606-77b8ba516258</t>
  </si>
  <si>
    <t>900 ml bottle</t>
  </si>
  <si>
    <t>c5f1b3e3-09bc-4aeb-bd34-988861baa3a5</t>
  </si>
  <si>
    <t>Tempo® Ultra WP</t>
  </si>
  <si>
    <t>420 gram jar</t>
  </si>
  <si>
    <t>c2bc61ad-9709-4f8a-8a17-6ac0289d8c0f</t>
  </si>
  <si>
    <t>Tempo® Ultra WSP</t>
  </si>
  <si>
    <t>8 x 50 gram packets</t>
  </si>
  <si>
    <t>1ffb0cf0-5773-44db-b7a2-a3852a9b7c08</t>
  </si>
  <si>
    <t>Topchoice®</t>
  </si>
  <si>
    <t>Utility Solution</t>
  </si>
  <si>
    <t>Product Cart Summary</t>
  </si>
  <si>
    <t>Early Order Bonus</t>
  </si>
  <si>
    <t>Disclaimer: The Product Cart summary is provided as an estimate only. See program rules and conditions.</t>
  </si>
  <si>
    <t>Purchases Invoiced August 1 - October 31 2021</t>
  </si>
  <si>
    <t>Interface® Stressgard® 2.5 gal. bottle</t>
  </si>
  <si>
    <t>In Season Total</t>
  </si>
  <si>
    <t>Select YES or NO</t>
  </si>
  <si>
    <t>Mirage® Stressgard® 2.5 gal. bottle</t>
  </si>
  <si>
    <t>5 GAL.</t>
  </si>
  <si>
    <t>Volume Discount</t>
  </si>
  <si>
    <t>NO</t>
  </si>
  <si>
    <t>Fall Solutions Puchase Total</t>
  </si>
  <si>
    <t>Rebate</t>
  </si>
  <si>
    <t>Note: Qualified purchases up to $31,999 may receive an additional 1% early purchase incentive. Qualified purchases over $32,000 include the 1% early purchase incentive.</t>
  </si>
  <si>
    <t>Net Total after Rebates</t>
  </si>
  <si>
    <t>Rebate %</t>
  </si>
  <si>
    <t>Total Savings %</t>
  </si>
  <si>
    <t>b49e6a56-4067-49e0-99c9-2d0e7006100e</t>
  </si>
  <si>
    <t>Celsius® XTRA</t>
  </si>
  <si>
    <t>Rebates!I18:K18</t>
  </si>
  <si>
    <t>cf80fc95-84cf-4a43-ad35-566d841d8092</t>
  </si>
  <si>
    <t>Densicor®</t>
  </si>
  <si>
    <t>51 oz. bottle</t>
  </si>
  <si>
    <t>Dual Defense XTRA Solution</t>
  </si>
  <si>
    <t>Celsius® XTRA 10 oz. bottle</t>
  </si>
  <si>
    <t>Specticle® FLO 1 gal bottle</t>
  </si>
  <si>
    <t>cba7eaa1-e077-4a0c-9051-b29968ffc0f6</t>
  </si>
  <si>
    <t>Tetrino®</t>
  </si>
  <si>
    <t>New Innovation Solution - Densicor</t>
  </si>
  <si>
    <t>a8b807d9-6e7c-43da-97f7-9d24807a8a9c</t>
  </si>
  <si>
    <t>Acclaim® Extra</t>
  </si>
  <si>
    <t>Rebates!I22:K22</t>
  </si>
  <si>
    <t>af482759-f66c-464d-ac5f-441ecefd4617</t>
  </si>
  <si>
    <t>1 pint bottle</t>
  </si>
  <si>
    <t>Densicor® 51 oz. bottle</t>
  </si>
  <si>
    <t>204 FL OZ.</t>
  </si>
  <si>
    <t>Tetrino® 1 gal. bottle</t>
  </si>
  <si>
    <t>1 GAL.</t>
  </si>
  <si>
    <t>1dc573e6-01f7-49e2-895e-d77a7493d7c0</t>
  </si>
  <si>
    <t>Dylox® 420 SL</t>
  </si>
  <si>
    <t>New Innovation Solution - Tetrino</t>
  </si>
  <si>
    <t>a63748a9-4cef-4b3d-acab-343fc381f2a3</t>
  </si>
  <si>
    <t>Dylox® 6.2 GR</t>
  </si>
  <si>
    <t>51 FL OZ.</t>
  </si>
  <si>
    <t>4 GAL.</t>
  </si>
  <si>
    <t>REBATE ENGINE PLUGIN STATUS</t>
  </si>
  <si>
    <t>GRADUATED REBATES</t>
  </si>
  <si>
    <t>PLUGIN ID</t>
  </si>
  <si>
    <t>PLUGIN NAME</t>
  </si>
  <si>
    <t>PLUGIN ACTIVE</t>
  </si>
  <si>
    <t>UNIT NAME</t>
  </si>
  <si>
    <t>MINIMUM QTY</t>
  </si>
  <si>
    <t>MAXIMUM QTY</t>
  </si>
  <si>
    <t>INCLUDE INDIVIDUAL ONLY</t>
  </si>
  <si>
    <t>Graduated Rebates</t>
  </si>
  <si>
    <t>Minimum Rebates</t>
  </si>
  <si>
    <t>Interface® Stressgard®</t>
  </si>
  <si>
    <t>High Volume Rebates</t>
  </si>
  <si>
    <t>Light House Rebates</t>
  </si>
  <si>
    <t>Multiple Brand Rebate</t>
  </si>
  <si>
    <t>Signature™ XTRA Stressgard®</t>
  </si>
  <si>
    <t>Category Mix Rebate</t>
  </si>
  <si>
    <t>Strategic Bundle Rebate</t>
  </si>
  <si>
    <t>Total Purchase Rebate</t>
  </si>
  <si>
    <t>Product Pairing Rebates</t>
  </si>
  <si>
    <t>Prior Year Total Rebate</t>
  </si>
  <si>
    <t>Sales Growth Rebate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</si>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</sst>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######"/>
    <numFmt numFmtId="165" formatCode="\$\ #,##0.00"/>
    <numFmt numFmtId="166" formatCode="0.00##########"/>
    <numFmt numFmtId="167" formatCode="0.00000000000"/>
  </numFmts>
  <fonts count="18" x14ac:knownFonts="1"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24"/>
      <color rgb="FF000000"/>
      <name val="Calibri"/>
      <family val="2"/>
    </font>
    <font>
      <b/>
      <sz val="12"/>
      <color rgb="FF000000"/>
      <name val="Calibri"/>
      <family val="2"/>
    </font>
    <font>
      <b/>
      <sz val="16"/>
      <color rgb="FF000000"/>
      <name val="Calibri"/>
      <family val="2"/>
    </font>
    <font>
      <b/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4"/>
      <color rgb="FF000000"/>
      <name val="Calibri"/>
      <family val="2"/>
    </font>
    <font>
      <sz val="16"/>
      <color rgb="FF000000"/>
      <name val="Calibri"/>
      <family val="2"/>
    </font>
    <font>
      <sz val="14"/>
      <color rgb="FF064121"/>
      <name val="Calibri"/>
      <family val="2"/>
    </font>
    <font>
      <b/>
      <u val="double"/>
      <sz val="14"/>
      <color rgb="FF064121"/>
      <name val="Calibri"/>
      <family val="2"/>
    </font>
    <font>
      <b/>
      <sz val="14"/>
      <color rgb="FF000000"/>
      <name val="Calibri"/>
      <family val="2"/>
    </font>
    <font>
      <sz val="10"/>
      <color rgb="FFFFFFFF"/>
      <name val="Calibri"/>
      <family val="2"/>
    </font>
    <font>
      <b/>
      <u/>
      <sz val="9"/>
      <color rgb="FF000000"/>
      <name val="Tahoma"/>
      <family val="2"/>
    </font>
    <font>
      <sz val="9"/>
      <color rgb="FF000000"/>
      <name val="Tahoma"/>
      <family val="2"/>
    </font>
    <font>
      <b/>
      <u/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FF"/>
      </patternFill>
    </fill>
    <fill>
      <patternFill patternType="solid">
        <fgColor rgb="FFFAFAFA"/>
      </patternFill>
    </fill>
    <fill>
      <patternFill patternType="solid">
        <fgColor rgb="FF66B512"/>
      </patternFill>
    </fill>
    <fill>
      <patternFill patternType="solid">
        <fgColor rgb="FFDEE2E6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64121"/>
      </patternFill>
    </fill>
  </fills>
  <borders count="70">
    <border>
      <left/>
      <right/>
      <top/>
      <bottom/>
      <diagonal/>
    </border>
    <border>
      <left/>
      <right/>
      <top/>
      <bottom style="thick">
        <color rgb="FF064121"/>
      </bottom>
      <diagonal/>
    </border>
    <border>
      <left style="thin">
        <color rgb="FF777777"/>
      </left>
      <right style="thin">
        <color rgb="FF064121"/>
      </right>
      <top style="thin">
        <color rgb="FF777777"/>
      </top>
      <bottom/>
      <diagonal/>
    </border>
    <border>
      <left style="thin">
        <color rgb="FF064121"/>
      </left>
      <right style="thin">
        <color rgb="FF064121"/>
      </right>
      <top style="thin">
        <color rgb="FF777777"/>
      </top>
      <bottom/>
      <diagonal/>
    </border>
    <border>
      <left style="thin">
        <color rgb="FF064121"/>
      </left>
      <right style="thin">
        <color rgb="FF777777"/>
      </right>
      <top style="thin">
        <color rgb="FF777777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777777"/>
      </bottom>
      <diagonal/>
    </border>
    <border>
      <left/>
      <right/>
      <top style="medium">
        <color indexed="64"/>
      </top>
      <bottom style="thin">
        <color rgb="FF777777"/>
      </bottom>
      <diagonal/>
    </border>
    <border>
      <left/>
      <right style="medium">
        <color indexed="64"/>
      </right>
      <top style="medium">
        <color indexed="64"/>
      </top>
      <bottom style="thin">
        <color rgb="FF777777"/>
      </bottom>
      <diagonal/>
    </border>
    <border>
      <left style="medium">
        <color indexed="64"/>
      </left>
      <right style="thin">
        <color rgb="FF777777"/>
      </right>
      <top style="thin">
        <color rgb="FF777777"/>
      </top>
      <bottom style="thin">
        <color rgb="FF777777"/>
      </bottom>
      <diagonal/>
    </border>
    <border>
      <left style="thin">
        <color rgb="FF777777"/>
      </left>
      <right style="thin">
        <color rgb="FF777777"/>
      </right>
      <top style="thin">
        <color rgb="FF777777"/>
      </top>
      <bottom style="thin">
        <color rgb="FF777777"/>
      </bottom>
      <diagonal/>
    </border>
    <border>
      <left style="thin">
        <color rgb="FF777777"/>
      </left>
      <right style="medium">
        <color indexed="64"/>
      </right>
      <top style="thin">
        <color rgb="FF777777"/>
      </top>
      <bottom style="thin">
        <color rgb="FF777777"/>
      </bottom>
      <diagonal/>
    </border>
    <border>
      <left style="thin">
        <color rgb="FF777777"/>
      </left>
      <right style="thin">
        <color rgb="FF064121"/>
      </right>
      <top/>
      <bottom style="thick">
        <color rgb="FF66B512"/>
      </bottom>
      <diagonal/>
    </border>
    <border>
      <left style="thin">
        <color rgb="FF064121"/>
      </left>
      <right style="thin">
        <color rgb="FF064121"/>
      </right>
      <top/>
      <bottom style="thick">
        <color rgb="FF66B512"/>
      </bottom>
      <diagonal/>
    </border>
    <border>
      <left style="thin">
        <color rgb="FF064121"/>
      </left>
      <right style="thin">
        <color rgb="FF777777"/>
      </right>
      <top/>
      <bottom style="thick">
        <color rgb="FF66B512"/>
      </bottom>
      <diagonal/>
    </border>
    <border>
      <left style="thin">
        <color rgb="FF777777"/>
      </left>
      <right style="thin">
        <color rgb="FF064121"/>
      </right>
      <top/>
      <bottom style="thin">
        <color rgb="FF000000"/>
      </bottom>
      <diagonal/>
    </border>
    <border>
      <left style="thin">
        <color rgb="FF064121"/>
      </left>
      <right style="thin">
        <color rgb="FF064121"/>
      </right>
      <top/>
      <bottom style="thin">
        <color rgb="FF000000"/>
      </bottom>
      <diagonal/>
    </border>
    <border>
      <left style="thin">
        <color rgb="FF064121"/>
      </left>
      <right style="thin">
        <color rgb="FF777777"/>
      </right>
      <top/>
      <bottom style="thin">
        <color rgb="FF000000"/>
      </bottom>
      <diagonal/>
    </border>
    <border>
      <left style="thin">
        <color rgb="FF777777"/>
      </left>
      <right style="thin">
        <color rgb="FF064121"/>
      </right>
      <top/>
      <bottom/>
      <diagonal/>
    </border>
    <border>
      <left style="thin">
        <color rgb="FF064121"/>
      </left>
      <right style="thin">
        <color rgb="FF064121"/>
      </right>
      <top/>
      <bottom/>
      <diagonal/>
    </border>
    <border>
      <left style="thin">
        <color rgb="FF064121"/>
      </left>
      <right style="thin">
        <color rgb="FF777777"/>
      </right>
      <top/>
      <bottom/>
      <diagonal/>
    </border>
    <border>
      <left style="thin">
        <color indexed="64"/>
      </left>
      <right style="thin">
        <color rgb="FF064121"/>
      </right>
      <top style="thin">
        <color indexed="64"/>
      </top>
      <bottom style="thin">
        <color indexed="64"/>
      </bottom>
      <diagonal/>
    </border>
    <border>
      <left style="thin">
        <color rgb="FF064121"/>
      </left>
      <right style="thin">
        <color rgb="FF064121"/>
      </right>
      <top style="thin">
        <color indexed="64"/>
      </top>
      <bottom style="thin">
        <color indexed="64"/>
      </bottom>
      <diagonal/>
    </border>
    <border>
      <left style="thin">
        <color rgb="FF06412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777777"/>
      </right>
      <top style="thin">
        <color rgb="FF777777"/>
      </top>
      <bottom style="medium">
        <color indexed="64"/>
      </bottom>
      <diagonal/>
    </border>
    <border>
      <left style="thin">
        <color rgb="FF777777"/>
      </left>
      <right style="thin">
        <color rgb="FF777777"/>
      </right>
      <top style="thin">
        <color rgb="FF777777"/>
      </top>
      <bottom style="medium">
        <color indexed="64"/>
      </bottom>
      <diagonal/>
    </border>
    <border>
      <left style="thin">
        <color rgb="FF777777"/>
      </left>
      <right style="medium">
        <color indexed="64"/>
      </right>
      <top style="thin">
        <color rgb="FF777777"/>
      </top>
      <bottom style="medium">
        <color indexed="64"/>
      </bottom>
      <diagonal/>
    </border>
    <border>
      <left/>
      <right/>
      <top/>
      <bottom style="thick">
        <color rgb="FF66B512"/>
      </bottom>
      <diagonal/>
    </border>
    <border>
      <left/>
      <right/>
      <top style="thick">
        <color rgb="FF66B512"/>
      </top>
      <bottom/>
      <diagonal/>
    </border>
    <border>
      <left style="thin">
        <color rgb="FF777777"/>
      </left>
      <right style="thin">
        <color rgb="FF777777"/>
      </right>
      <top style="thin">
        <color rgb="FF777777"/>
      </top>
      <bottom/>
      <diagonal/>
    </border>
    <border>
      <left style="thin">
        <color rgb="FF777777"/>
      </left>
      <right style="thin">
        <color rgb="FF777777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ck">
        <color rgb="FF66B512"/>
      </bottom>
      <diagonal/>
    </border>
    <border>
      <left/>
      <right style="thin">
        <color indexed="64"/>
      </right>
      <top/>
      <bottom style="thick">
        <color rgb="FF66B512"/>
      </bottom>
      <diagonal/>
    </border>
    <border>
      <left style="thin">
        <color indexed="64"/>
      </left>
      <right/>
      <top style="thick">
        <color rgb="FF66B512"/>
      </top>
      <bottom style="thin">
        <color rgb="FF777777"/>
      </bottom>
      <diagonal/>
    </border>
    <border>
      <left/>
      <right/>
      <top style="thick">
        <color rgb="FF66B512"/>
      </top>
      <bottom style="thin">
        <color rgb="FF777777"/>
      </bottom>
      <diagonal/>
    </border>
    <border>
      <left/>
      <right style="thin">
        <color indexed="64"/>
      </right>
      <top style="thick">
        <color rgb="FF66B512"/>
      </top>
      <bottom style="thin">
        <color rgb="FF777777"/>
      </bottom>
      <diagonal/>
    </border>
    <border>
      <left style="thin">
        <color indexed="64"/>
      </left>
      <right style="thin">
        <color rgb="FF777777"/>
      </right>
      <top style="thin">
        <color rgb="FF777777"/>
      </top>
      <bottom style="thin">
        <color rgb="FF777777"/>
      </bottom>
      <diagonal/>
    </border>
    <border>
      <left style="thin">
        <color rgb="FF777777"/>
      </left>
      <right style="thin">
        <color indexed="64"/>
      </right>
      <top style="thin">
        <color rgb="FF777777"/>
      </top>
      <bottom style="thin">
        <color rgb="FF777777"/>
      </bottom>
      <diagonal/>
    </border>
    <border>
      <left style="thin">
        <color indexed="64"/>
      </left>
      <right/>
      <top style="thin">
        <color rgb="FF777777"/>
      </top>
      <bottom style="thin">
        <color indexed="64"/>
      </bottom>
      <diagonal/>
    </border>
    <border>
      <left/>
      <right/>
      <top style="thin">
        <color rgb="FF777777"/>
      </top>
      <bottom style="thin">
        <color indexed="64"/>
      </bottom>
      <diagonal/>
    </border>
    <border>
      <left/>
      <right style="thin">
        <color indexed="64"/>
      </right>
      <top style="thin">
        <color rgb="FF777777"/>
      </top>
      <bottom style="thin">
        <color indexed="64"/>
      </bottom>
      <diagonal/>
    </border>
    <border>
      <left style="thin">
        <color indexed="64"/>
      </left>
      <right style="thin">
        <color rgb="FF777777"/>
      </right>
      <top style="thin">
        <color indexed="64"/>
      </top>
      <bottom/>
      <diagonal/>
    </border>
    <border>
      <left style="thin">
        <color rgb="FF777777"/>
      </left>
      <right style="thin">
        <color rgb="FF777777"/>
      </right>
      <top style="thin">
        <color indexed="64"/>
      </top>
      <bottom/>
      <diagonal/>
    </border>
    <border>
      <left style="thin">
        <color rgb="FF777777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777777"/>
      </right>
      <top style="thin">
        <color rgb="FF777777"/>
      </top>
      <bottom/>
      <diagonal/>
    </border>
    <border>
      <left style="thin">
        <color rgb="FF777777"/>
      </left>
      <right style="thin">
        <color indexed="64"/>
      </right>
      <top style="thin">
        <color rgb="FF777777"/>
      </top>
      <bottom/>
      <diagonal/>
    </border>
    <border>
      <left style="thin">
        <color indexed="64"/>
      </left>
      <right style="thin">
        <color rgb="FF777777"/>
      </right>
      <top/>
      <bottom/>
      <diagonal/>
    </border>
    <border>
      <left style="thin">
        <color rgb="FF777777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777777"/>
      </right>
      <top style="thick">
        <color rgb="FF66B512"/>
      </top>
      <bottom style="thin">
        <color rgb="FF777777"/>
      </bottom>
      <diagonal/>
    </border>
    <border>
      <left style="thin">
        <color rgb="FF777777"/>
      </left>
      <right style="thin">
        <color rgb="FF777777"/>
      </right>
      <top style="thick">
        <color rgb="FF66B512"/>
      </top>
      <bottom style="thin">
        <color rgb="FF777777"/>
      </bottom>
      <diagonal/>
    </border>
    <border>
      <left style="thin">
        <color rgb="FF777777"/>
      </left>
      <right style="thin">
        <color indexed="64"/>
      </right>
      <top style="thick">
        <color rgb="FF66B512"/>
      </top>
      <bottom style="thin">
        <color rgb="FF777777"/>
      </bottom>
      <diagonal/>
    </border>
    <border>
      <left style="thin">
        <color rgb="FF777777"/>
      </left>
      <right/>
      <top style="thin">
        <color rgb="FF777777"/>
      </top>
      <bottom style="thin">
        <color rgb="FF777777"/>
      </bottom>
      <diagonal/>
    </border>
    <border>
      <left/>
      <right style="thin">
        <color rgb="FF777777"/>
      </right>
      <top style="thin">
        <color rgb="FF777777"/>
      </top>
      <bottom style="thin">
        <color rgb="FF777777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rgb="FF777777"/>
      </top>
      <bottom style="thin">
        <color rgb="FF777777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rgb="FF777777"/>
      </bottom>
      <diagonal/>
    </border>
    <border>
      <left/>
      <right style="thin">
        <color rgb="FF777777"/>
      </right>
      <top/>
      <bottom style="thin">
        <color rgb="FF777777"/>
      </bottom>
      <diagonal/>
    </border>
    <border>
      <left style="thin">
        <color indexed="64"/>
      </left>
      <right style="thin">
        <color rgb="FF777777"/>
      </right>
      <top style="thin">
        <color rgb="FF777777"/>
      </top>
      <bottom style="thin">
        <color indexed="64"/>
      </bottom>
      <diagonal/>
    </border>
    <border>
      <left style="thin">
        <color rgb="FF777777"/>
      </left>
      <right style="thin">
        <color rgb="FF777777"/>
      </right>
      <top style="thin">
        <color rgb="FF777777"/>
      </top>
      <bottom style="thin">
        <color indexed="64"/>
      </bottom>
      <diagonal/>
    </border>
    <border>
      <left style="thin">
        <color rgb="FF777777"/>
      </left>
      <right style="thin">
        <color indexed="64"/>
      </right>
      <top style="thin">
        <color rgb="FF777777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 applyBorder="0"/>
  </cellStyleXfs>
  <cellXfs count="214">
    <xf numFmtId="0" fontId="0" fillId="0" borderId="0" xfId="0"/>
    <xf numFmtId="0" fontId="1" fillId="3" borderId="1" xfId="0" applyFont="1" applyFill="1" applyBorder="1"/>
    <xf numFmtId="0" fontId="2" fillId="3" borderId="1" xfId="0" applyFont="1" applyFill="1" applyBorder="1" applyAlignment="1">
      <alignment horizontal="center" vertical="center"/>
    </xf>
    <xf numFmtId="164" fontId="2" fillId="3" borderId="1" xfId="0" applyNumberFormat="1" applyFont="1" applyFill="1" applyBorder="1" applyAlignment="1">
      <alignment vertical="center"/>
    </xf>
    <xf numFmtId="165" fontId="2" fillId="3" borderId="1" xfId="0" applyNumberFormat="1" applyFont="1" applyFill="1" applyBorder="1" applyAlignment="1">
      <alignment vertical="center"/>
    </xf>
    <xf numFmtId="1" fontId="1" fillId="3" borderId="1" xfId="0" applyNumberFormat="1" applyFont="1" applyFill="1" applyBorder="1"/>
    <xf numFmtId="164" fontId="1" fillId="3" borderId="1" xfId="0" applyNumberFormat="1" applyFont="1" applyFill="1" applyBorder="1"/>
    <xf numFmtId="2" fontId="1" fillId="3" borderId="1" xfId="0" applyNumberFormat="1" applyFont="1" applyFill="1" applyBorder="1"/>
    <xf numFmtId="0" fontId="1" fillId="3" borderId="0" xfId="0" applyFont="1" applyFill="1"/>
    <xf numFmtId="1" fontId="1" fillId="3" borderId="0" xfId="0" applyNumberFormat="1" applyFont="1" applyFill="1"/>
    <xf numFmtId="165" fontId="1" fillId="3" borderId="0" xfId="0" applyNumberFormat="1" applyFont="1" applyFill="1"/>
    <xf numFmtId="10" fontId="1" fillId="3" borderId="0" xfId="0" applyNumberFormat="1" applyFont="1" applyFill="1"/>
    <xf numFmtId="164" fontId="1" fillId="3" borderId="0" xfId="0" applyNumberFormat="1" applyFont="1" applyFill="1"/>
    <xf numFmtId="2" fontId="1" fillId="3" borderId="0" xfId="0" applyNumberFormat="1" applyFont="1" applyFill="1"/>
    <xf numFmtId="0" fontId="4" fillId="4" borderId="2" xfId="0" applyFont="1" applyFill="1" applyBorder="1" applyAlignment="1" applyProtection="1">
      <alignment horizontal="left" vertical="center" wrapText="1" indent="1"/>
      <protection locked="0"/>
    </xf>
    <xf numFmtId="0" fontId="1" fillId="4" borderId="3" xfId="0" applyFont="1" applyFill="1" applyBorder="1" applyProtection="1">
      <protection locked="0"/>
    </xf>
    <xf numFmtId="0" fontId="1" fillId="4" borderId="4" xfId="0" applyFont="1" applyFill="1" applyBorder="1" applyProtection="1">
      <protection locked="0"/>
    </xf>
    <xf numFmtId="165" fontId="5" fillId="5" borderId="5" xfId="0" applyNumberFormat="1" applyFont="1" applyFill="1" applyBorder="1" applyAlignment="1">
      <alignment horizontal="center"/>
    </xf>
    <xf numFmtId="165" fontId="5" fillId="5" borderId="6" xfId="0" applyNumberFormat="1" applyFont="1" applyFill="1" applyBorder="1" applyAlignment="1">
      <alignment horizontal="center"/>
    </xf>
    <xf numFmtId="165" fontId="5" fillId="5" borderId="7" xfId="0" applyNumberFormat="1" applyFont="1" applyFill="1" applyBorder="1" applyAlignment="1">
      <alignment horizontal="center"/>
    </xf>
    <xf numFmtId="0" fontId="0" fillId="0" borderId="0" xfId="0" applyBorder="1" applyAlignment="1">
      <alignment wrapText="1"/>
    </xf>
    <xf numFmtId="0" fontId="1" fillId="4" borderId="2" xfId="0" applyFont="1" applyFill="1" applyBorder="1" applyProtection="1">
      <protection locked="0"/>
    </xf>
    <xf numFmtId="165" fontId="6" fillId="6" borderId="8" xfId="0" applyNumberFormat="1" applyFont="1" applyFill="1" applyBorder="1" applyAlignment="1">
      <alignment horizontal="center" vertical="center" wrapText="1"/>
    </xf>
    <xf numFmtId="165" fontId="6" fillId="6" borderId="9" xfId="0" applyNumberFormat="1" applyFont="1" applyFill="1" applyBorder="1" applyAlignment="1">
      <alignment horizontal="center" vertical="center" wrapText="1"/>
    </xf>
    <xf numFmtId="10" fontId="6" fillId="6" borderId="10" xfId="0" applyNumberFormat="1" applyFont="1" applyFill="1" applyBorder="1" applyAlignment="1">
      <alignment horizontal="center" vertical="center" wrapText="1"/>
    </xf>
    <xf numFmtId="0" fontId="7" fillId="4" borderId="11" xfId="0" applyFont="1" applyFill="1" applyBorder="1" applyAlignment="1" applyProtection="1">
      <alignment horizontal="left" vertical="center" wrapText="1" indent="1"/>
      <protection locked="0"/>
    </xf>
    <xf numFmtId="0" fontId="1" fillId="4" borderId="12" xfId="0" applyFont="1" applyFill="1" applyBorder="1" applyProtection="1">
      <protection locked="0"/>
    </xf>
    <xf numFmtId="0" fontId="1" fillId="4" borderId="13" xfId="0" applyFont="1" applyFill="1" applyBorder="1" applyProtection="1">
      <protection locked="0"/>
    </xf>
    <xf numFmtId="165" fontId="1" fillId="3" borderId="8" xfId="0" applyNumberFormat="1" applyFont="1" applyFill="1" applyBorder="1"/>
    <xf numFmtId="165" fontId="1" fillId="3" borderId="9" xfId="0" applyNumberFormat="1" applyFont="1" applyFill="1" applyBorder="1"/>
    <xf numFmtId="10" fontId="1" fillId="3" borderId="10" xfId="0" applyNumberFormat="1" applyFont="1" applyFill="1" applyBorder="1"/>
    <xf numFmtId="0" fontId="1" fillId="4" borderId="11" xfId="0" applyFont="1" applyFill="1" applyBorder="1" applyProtection="1">
      <protection locked="0"/>
    </xf>
    <xf numFmtId="0" fontId="1" fillId="4" borderId="14" xfId="0" applyFont="1" applyFill="1" applyBorder="1" applyAlignment="1" applyProtection="1">
      <alignment horizontal="left" vertical="center" wrapText="1" indent="2"/>
      <protection locked="0"/>
    </xf>
    <xf numFmtId="0" fontId="1" fillId="4" borderId="15" xfId="0" applyFont="1" applyFill="1" applyBorder="1" applyProtection="1">
      <protection locked="0"/>
    </xf>
    <xf numFmtId="0" fontId="1" fillId="4" borderId="16" xfId="0" applyFont="1" applyFill="1" applyBorder="1" applyProtection="1">
      <protection locked="0"/>
    </xf>
    <xf numFmtId="0" fontId="1" fillId="4" borderId="17" xfId="0" applyFont="1" applyFill="1" applyBorder="1" applyAlignment="1" applyProtection="1">
      <alignment horizontal="left" vertical="center" wrapText="1" indent="2"/>
      <protection locked="0"/>
    </xf>
    <xf numFmtId="0" fontId="1" fillId="4" borderId="18" xfId="0" applyFont="1" applyFill="1" applyBorder="1" applyProtection="1">
      <protection locked="0"/>
    </xf>
    <xf numFmtId="0" fontId="1" fillId="4" borderId="19" xfId="0" applyFont="1" applyFill="1" applyBorder="1" applyProtection="1">
      <protection locked="0"/>
    </xf>
    <xf numFmtId="0" fontId="1" fillId="3" borderId="20" xfId="0" applyFont="1" applyFill="1" applyBorder="1" applyAlignment="1" applyProtection="1">
      <alignment horizontal="left" vertical="center" wrapText="1" indent="2"/>
      <protection locked="0"/>
    </xf>
    <xf numFmtId="0" fontId="1" fillId="3" borderId="21" xfId="0" applyFont="1" applyFill="1" applyBorder="1" applyProtection="1">
      <protection locked="0"/>
    </xf>
    <xf numFmtId="0" fontId="1" fillId="3" borderId="22" xfId="0" applyFont="1" applyFill="1" applyBorder="1" applyProtection="1">
      <protection locked="0"/>
    </xf>
    <xf numFmtId="165" fontId="1" fillId="3" borderId="23" xfId="0" applyNumberFormat="1" applyFont="1" applyFill="1" applyBorder="1"/>
    <xf numFmtId="165" fontId="1" fillId="3" borderId="24" xfId="0" applyNumberFormat="1" applyFont="1" applyFill="1" applyBorder="1"/>
    <xf numFmtId="10" fontId="1" fillId="3" borderId="25" xfId="0" applyNumberFormat="1" applyFont="1" applyFill="1" applyBorder="1"/>
    <xf numFmtId="0" fontId="1" fillId="3" borderId="15" xfId="0" applyFont="1" applyFill="1" applyBorder="1" applyAlignment="1" applyProtection="1">
      <alignment horizontal="left" vertical="center" wrapText="1" indent="2"/>
      <protection locked="0"/>
    </xf>
    <xf numFmtId="0" fontId="1" fillId="3" borderId="15" xfId="0" applyFont="1" applyFill="1" applyBorder="1" applyProtection="1">
      <protection locked="0"/>
    </xf>
    <xf numFmtId="0" fontId="8" fillId="3" borderId="26" xfId="0" applyFont="1" applyFill="1" applyBorder="1"/>
    <xf numFmtId="1" fontId="8" fillId="3" borderId="26" xfId="0" applyNumberFormat="1" applyFont="1" applyFill="1" applyBorder="1"/>
    <xf numFmtId="164" fontId="8" fillId="3" borderId="26" xfId="0" applyNumberFormat="1" applyFont="1" applyFill="1" applyBorder="1"/>
    <xf numFmtId="2" fontId="8" fillId="3" borderId="26" xfId="0" applyNumberFormat="1" applyFont="1" applyFill="1" applyBorder="1"/>
    <xf numFmtId="0" fontId="9" fillId="3" borderId="27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vertical="center" wrapText="1"/>
    </xf>
    <xf numFmtId="1" fontId="9" fillId="3" borderId="0" xfId="0" applyNumberFormat="1" applyFont="1" applyFill="1" applyAlignment="1">
      <alignment vertical="center" wrapText="1"/>
    </xf>
    <xf numFmtId="164" fontId="9" fillId="3" borderId="0" xfId="0" applyNumberFormat="1" applyFont="1" applyFill="1" applyAlignment="1">
      <alignment vertical="center" wrapText="1"/>
    </xf>
    <xf numFmtId="2" fontId="9" fillId="3" borderId="0" xfId="0" applyNumberFormat="1" applyFont="1" applyFill="1" applyAlignment="1">
      <alignment vertical="center" wrapText="1"/>
    </xf>
    <xf numFmtId="0" fontId="5" fillId="6" borderId="9" xfId="0" applyFont="1" applyFill="1" applyBorder="1" applyAlignment="1">
      <alignment horizontal="center" vertical="center" wrapText="1"/>
    </xf>
    <xf numFmtId="0" fontId="5" fillId="6" borderId="9" xfId="0" applyFont="1" applyFill="1" applyBorder="1" applyAlignment="1">
      <alignment horizontal="center" vertical="center"/>
    </xf>
    <xf numFmtId="1" fontId="5" fillId="6" borderId="9" xfId="0" applyNumberFormat="1" applyFont="1" applyFill="1" applyBorder="1" applyAlignment="1">
      <alignment horizontal="center" vertical="center"/>
    </xf>
    <xf numFmtId="165" fontId="5" fillId="6" borderId="9" xfId="0" applyNumberFormat="1" applyFont="1" applyFill="1" applyBorder="1" applyAlignment="1">
      <alignment horizontal="center" vertical="center" wrapText="1"/>
    </xf>
    <xf numFmtId="165" fontId="5" fillId="6" borderId="9" xfId="0" applyNumberFormat="1" applyFont="1" applyFill="1" applyBorder="1" applyAlignment="1">
      <alignment horizontal="center" vertical="center"/>
    </xf>
    <xf numFmtId="10" fontId="5" fillId="6" borderId="9" xfId="0" applyNumberFormat="1" applyFont="1" applyFill="1" applyBorder="1" applyAlignment="1">
      <alignment horizontal="center" vertical="center"/>
    </xf>
    <xf numFmtId="164" fontId="5" fillId="6" borderId="9" xfId="0" applyNumberFormat="1" applyFont="1" applyFill="1" applyBorder="1" applyAlignment="1">
      <alignment horizontal="center" vertical="center" wrapText="1"/>
    </xf>
    <xf numFmtId="2" fontId="5" fillId="6" borderId="9" xfId="0" applyNumberFormat="1" applyFont="1" applyFill="1" applyBorder="1" applyAlignment="1">
      <alignment horizontal="center" vertical="center" wrapText="1"/>
    </xf>
    <xf numFmtId="0" fontId="6" fillId="6" borderId="9" xfId="0" applyFont="1" applyFill="1" applyBorder="1" applyAlignment="1">
      <alignment horizontal="center" vertical="center" wrapText="1"/>
    </xf>
    <xf numFmtId="1" fontId="6" fillId="2" borderId="9" xfId="0" applyNumberFormat="1" applyFont="1" applyFill="1" applyBorder="1" applyAlignment="1">
      <alignment horizontal="center" vertical="center" wrapText="1"/>
    </xf>
    <xf numFmtId="165" fontId="6" fillId="6" borderId="9" xfId="0" applyNumberFormat="1" applyFont="1" applyFill="1" applyBorder="1" applyAlignment="1">
      <alignment horizontal="center" vertical="center" wrapText="1"/>
    </xf>
    <xf numFmtId="166" fontId="6" fillId="6" borderId="9" xfId="0" applyNumberFormat="1" applyFont="1" applyFill="1" applyBorder="1" applyAlignment="1">
      <alignment horizontal="center" vertical="center" wrapText="1"/>
    </xf>
    <xf numFmtId="164" fontId="6" fillId="2" borderId="9" xfId="0" applyNumberFormat="1" applyFont="1" applyFill="1" applyBorder="1" applyAlignment="1">
      <alignment horizontal="center" vertical="center" wrapText="1"/>
    </xf>
    <xf numFmtId="2" fontId="6" fillId="6" borderId="9" xfId="0" applyNumberFormat="1" applyFont="1" applyFill="1" applyBorder="1" applyAlignment="1">
      <alignment horizontal="center" vertical="center" wrapText="1"/>
    </xf>
    <xf numFmtId="164" fontId="6" fillId="6" borderId="9" xfId="0" applyNumberFormat="1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left" wrapText="1" indent="1"/>
    </xf>
    <xf numFmtId="0" fontId="11" fillId="4" borderId="31" xfId="0" applyFont="1" applyFill="1" applyBorder="1" applyAlignment="1">
      <alignment horizontal="left" wrapText="1" indent="1"/>
    </xf>
    <xf numFmtId="0" fontId="11" fillId="4" borderId="32" xfId="0" applyFont="1" applyFill="1" applyBorder="1" applyAlignment="1">
      <alignment horizontal="left" wrapText="1" indent="1"/>
    </xf>
    <xf numFmtId="0" fontId="1" fillId="4" borderId="9" xfId="0" applyFont="1" applyFill="1" applyBorder="1" applyAlignment="1">
      <alignment horizontal="center"/>
    </xf>
    <xf numFmtId="0" fontId="1" fillId="4" borderId="9" xfId="0" applyFont="1" applyFill="1" applyBorder="1"/>
    <xf numFmtId="1" fontId="1" fillId="2" borderId="9" xfId="0" applyNumberFormat="1" applyFont="1" applyFill="1" applyBorder="1" applyProtection="1">
      <protection locked="0"/>
    </xf>
    <xf numFmtId="165" fontId="1" fillId="4" borderId="9" xfId="0" applyNumberFormat="1" applyFont="1" applyFill="1" applyBorder="1"/>
    <xf numFmtId="166" fontId="1" fillId="4" borderId="9" xfId="0" applyNumberFormat="1" applyFont="1" applyFill="1" applyBorder="1"/>
    <xf numFmtId="164" fontId="1" fillId="2" borderId="9" xfId="0" applyNumberFormat="1" applyFont="1" applyFill="1" applyBorder="1" applyProtection="1">
      <protection locked="0"/>
    </xf>
    <xf numFmtId="2" fontId="1" fillId="4" borderId="9" xfId="0" applyNumberFormat="1" applyFont="1" applyFill="1" applyBorder="1"/>
    <xf numFmtId="164" fontId="1" fillId="4" borderId="9" xfId="0" applyNumberFormat="1" applyFont="1" applyFill="1" applyBorder="1"/>
    <xf numFmtId="0" fontId="11" fillId="4" borderId="33" xfId="0" applyFont="1" applyFill="1" applyBorder="1" applyAlignment="1">
      <alignment horizontal="left" wrapText="1" indent="1"/>
    </xf>
    <xf numFmtId="0" fontId="11" fillId="4" borderId="0" xfId="0" applyFont="1" applyFill="1" applyBorder="1" applyAlignment="1">
      <alignment horizontal="left" wrapText="1" indent="1"/>
    </xf>
    <xf numFmtId="0" fontId="11" fillId="4" borderId="34" xfId="0" applyFont="1" applyFill="1" applyBorder="1" applyAlignment="1">
      <alignment horizontal="left" wrapText="1" indent="1"/>
    </xf>
    <xf numFmtId="0" fontId="1" fillId="4" borderId="33" xfId="0" applyFont="1" applyFill="1" applyBorder="1" applyAlignment="1">
      <alignment horizontal="left" vertical="center" wrapText="1" indent="1"/>
    </xf>
    <xf numFmtId="0" fontId="1" fillId="4" borderId="0" xfId="0" applyFont="1" applyFill="1" applyBorder="1" applyAlignment="1">
      <alignment horizontal="left" vertical="center" wrapText="1" indent="1"/>
    </xf>
    <xf numFmtId="0" fontId="1" fillId="4" borderId="34" xfId="0" applyFont="1" applyFill="1" applyBorder="1" applyAlignment="1">
      <alignment horizontal="left" vertical="center" wrapText="1" indent="1"/>
    </xf>
    <xf numFmtId="0" fontId="1" fillId="4" borderId="35" xfId="0" applyFont="1" applyFill="1" applyBorder="1" applyAlignment="1">
      <alignment horizontal="left" vertical="center" wrapText="1" indent="1"/>
    </xf>
    <xf numFmtId="0" fontId="1" fillId="4" borderId="26" xfId="0" applyFont="1" applyFill="1" applyBorder="1" applyAlignment="1">
      <alignment horizontal="left" vertical="center" wrapText="1" indent="1"/>
    </xf>
    <xf numFmtId="0" fontId="1" fillId="4" borderId="36" xfId="0" applyFont="1" applyFill="1" applyBorder="1" applyAlignment="1">
      <alignment horizontal="left" vertical="center" wrapText="1" indent="1"/>
    </xf>
    <xf numFmtId="0" fontId="1" fillId="4" borderId="37" xfId="0" applyFont="1" applyFill="1" applyBorder="1"/>
    <xf numFmtId="0" fontId="1" fillId="4" borderId="38" xfId="0" applyFont="1" applyFill="1" applyBorder="1"/>
    <xf numFmtId="0" fontId="1" fillId="4" borderId="39" xfId="0" applyFont="1" applyFill="1" applyBorder="1"/>
    <xf numFmtId="0" fontId="5" fillId="6" borderId="40" xfId="0" applyFont="1" applyFill="1" applyBorder="1" applyAlignment="1">
      <alignment horizontal="left" wrapText="1" indent="1"/>
    </xf>
    <xf numFmtId="0" fontId="5" fillId="6" borderId="9" xfId="0" applyFont="1" applyFill="1" applyBorder="1" applyAlignment="1">
      <alignment horizontal="center" wrapText="1"/>
    </xf>
    <xf numFmtId="1" fontId="5" fillId="6" borderId="9" xfId="0" applyNumberFormat="1" applyFont="1" applyFill="1" applyBorder="1" applyAlignment="1">
      <alignment horizontal="center" wrapText="1"/>
    </xf>
    <xf numFmtId="164" fontId="5" fillId="6" borderId="9" xfId="0" applyNumberFormat="1" applyFont="1" applyFill="1" applyBorder="1" applyAlignment="1">
      <alignment horizontal="center" wrapText="1"/>
    </xf>
    <xf numFmtId="2" fontId="5" fillId="6" borderId="41" xfId="0" applyNumberFormat="1" applyFont="1" applyFill="1" applyBorder="1" applyAlignment="1">
      <alignment horizontal="center" wrapText="1"/>
    </xf>
    <xf numFmtId="1" fontId="1" fillId="4" borderId="9" xfId="0" applyNumberFormat="1" applyFont="1" applyFill="1" applyBorder="1" applyAlignment="1">
      <alignment horizontal="center"/>
    </xf>
    <xf numFmtId="164" fontId="1" fillId="7" borderId="9" xfId="0" applyNumberFormat="1" applyFont="1" applyFill="1" applyBorder="1" applyAlignment="1" applyProtection="1">
      <alignment horizontal="center"/>
      <protection locked="0"/>
    </xf>
    <xf numFmtId="2" fontId="1" fillId="4" borderId="41" xfId="0" applyNumberFormat="1" applyFont="1" applyFill="1" applyBorder="1" applyAlignment="1">
      <alignment horizontal="center"/>
    </xf>
    <xf numFmtId="0" fontId="1" fillId="4" borderId="42" xfId="0" applyFont="1" applyFill="1" applyBorder="1" applyAlignment="1">
      <alignment horizontal="center"/>
    </xf>
    <xf numFmtId="0" fontId="1" fillId="4" borderId="43" xfId="0" applyFont="1" applyFill="1" applyBorder="1" applyAlignment="1">
      <alignment horizontal="center"/>
    </xf>
    <xf numFmtId="0" fontId="1" fillId="4" borderId="44" xfId="0" applyFont="1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11" fillId="4" borderId="45" xfId="0" applyFont="1" applyFill="1" applyBorder="1" applyAlignment="1">
      <alignment horizontal="left" wrapText="1" indent="1"/>
    </xf>
    <xf numFmtId="0" fontId="11" fillId="4" borderId="46" xfId="0" applyFont="1" applyFill="1" applyBorder="1" applyAlignment="1">
      <alignment horizontal="left" wrapText="1" indent="1"/>
    </xf>
    <xf numFmtId="1" fontId="11" fillId="4" borderId="46" xfId="0" applyNumberFormat="1" applyFont="1" applyFill="1" applyBorder="1" applyAlignment="1">
      <alignment horizontal="left" wrapText="1" indent="1"/>
    </xf>
    <xf numFmtId="164" fontId="11" fillId="4" borderId="46" xfId="0" applyNumberFormat="1" applyFont="1" applyFill="1" applyBorder="1" applyAlignment="1">
      <alignment horizontal="left" wrapText="1" indent="1"/>
    </xf>
    <xf numFmtId="2" fontId="11" fillId="4" borderId="47" xfId="0" applyNumberFormat="1" applyFont="1" applyFill="1" applyBorder="1" applyAlignment="1">
      <alignment horizontal="left" wrapText="1" indent="1"/>
    </xf>
    <xf numFmtId="0" fontId="11" fillId="4" borderId="48" xfId="0" applyFont="1" applyFill="1" applyBorder="1" applyAlignment="1">
      <alignment horizontal="left" wrapText="1" indent="1"/>
    </xf>
    <xf numFmtId="0" fontId="11" fillId="4" borderId="28" xfId="0" applyFont="1" applyFill="1" applyBorder="1" applyAlignment="1">
      <alignment horizontal="left" wrapText="1" indent="1"/>
    </xf>
    <xf numFmtId="1" fontId="11" fillId="4" borderId="28" xfId="0" applyNumberFormat="1" applyFont="1" applyFill="1" applyBorder="1" applyAlignment="1">
      <alignment horizontal="left" wrapText="1" indent="1"/>
    </xf>
    <xf numFmtId="164" fontId="11" fillId="4" borderId="28" xfId="0" applyNumberFormat="1" applyFont="1" applyFill="1" applyBorder="1" applyAlignment="1">
      <alignment horizontal="left" wrapText="1" indent="1"/>
    </xf>
    <xf numFmtId="2" fontId="11" fillId="4" borderId="49" xfId="0" applyNumberFormat="1" applyFont="1" applyFill="1" applyBorder="1" applyAlignment="1">
      <alignment horizontal="left" wrapText="1" indent="1"/>
    </xf>
    <xf numFmtId="0" fontId="1" fillId="4" borderId="50" xfId="0" applyFont="1" applyFill="1" applyBorder="1" applyAlignment="1">
      <alignment horizontal="left" vertical="center" wrapText="1" indent="1"/>
    </xf>
    <xf numFmtId="0" fontId="1" fillId="4" borderId="29" xfId="0" applyFont="1" applyFill="1" applyBorder="1" applyAlignment="1">
      <alignment horizontal="left" vertical="center" wrapText="1" indent="1"/>
    </xf>
    <xf numFmtId="1" fontId="1" fillId="4" borderId="29" xfId="0" applyNumberFormat="1" applyFont="1" applyFill="1" applyBorder="1" applyAlignment="1">
      <alignment horizontal="left" vertical="center" wrapText="1" indent="1"/>
    </xf>
    <xf numFmtId="164" fontId="1" fillId="4" borderId="29" xfId="0" applyNumberFormat="1" applyFont="1" applyFill="1" applyBorder="1" applyAlignment="1">
      <alignment horizontal="left" vertical="center" wrapText="1" indent="1"/>
    </xf>
    <xf numFmtId="2" fontId="1" fillId="4" borderId="51" xfId="0" applyNumberFormat="1" applyFont="1" applyFill="1" applyBorder="1" applyAlignment="1">
      <alignment horizontal="left" vertical="center" wrapText="1" indent="1"/>
    </xf>
    <xf numFmtId="0" fontId="1" fillId="4" borderId="52" xfId="0" applyFont="1" applyFill="1" applyBorder="1"/>
    <xf numFmtId="0" fontId="1" fillId="4" borderId="53" xfId="0" applyFont="1" applyFill="1" applyBorder="1"/>
    <xf numFmtId="1" fontId="1" fillId="4" borderId="53" xfId="0" applyNumberFormat="1" applyFont="1" applyFill="1" applyBorder="1"/>
    <xf numFmtId="164" fontId="1" fillId="4" borderId="53" xfId="0" applyNumberFormat="1" applyFont="1" applyFill="1" applyBorder="1"/>
    <xf numFmtId="2" fontId="1" fillId="4" borderId="54" xfId="0" applyNumberFormat="1" applyFont="1" applyFill="1" applyBorder="1"/>
    <xf numFmtId="1" fontId="1" fillId="8" borderId="9" xfId="0" applyNumberFormat="1" applyFont="1" applyFill="1" applyBorder="1" applyProtection="1">
      <protection locked="0"/>
    </xf>
    <xf numFmtId="0" fontId="1" fillId="4" borderId="40" xfId="0" applyFont="1" applyFill="1" applyBorder="1" applyAlignment="1">
      <alignment horizontal="center"/>
    </xf>
    <xf numFmtId="2" fontId="11" fillId="4" borderId="28" xfId="0" applyNumberFormat="1" applyFont="1" applyFill="1" applyBorder="1" applyAlignment="1">
      <alignment horizontal="left" wrapText="1" indent="1"/>
    </xf>
    <xf numFmtId="2" fontId="1" fillId="4" borderId="29" xfId="0" applyNumberFormat="1" applyFont="1" applyFill="1" applyBorder="1" applyAlignment="1">
      <alignment horizontal="left" vertical="center" wrapText="1" indent="1"/>
    </xf>
    <xf numFmtId="2" fontId="1" fillId="4" borderId="53" xfId="0" applyNumberFormat="1" applyFont="1" applyFill="1" applyBorder="1"/>
    <xf numFmtId="0" fontId="5" fillId="6" borderId="9" xfId="0" applyFont="1" applyFill="1" applyBorder="1" applyAlignment="1">
      <alignment horizontal="left" wrapText="1" indent="1"/>
    </xf>
    <xf numFmtId="2" fontId="5" fillId="6" borderId="9" xfId="0" applyNumberFormat="1" applyFont="1" applyFill="1" applyBorder="1" applyAlignment="1">
      <alignment horizontal="center" wrapText="1"/>
    </xf>
    <xf numFmtId="0" fontId="1" fillId="4" borderId="9" xfId="0" applyFont="1" applyFill="1" applyBorder="1" applyAlignment="1">
      <alignment horizontal="left" indent="2"/>
    </xf>
    <xf numFmtId="0" fontId="1" fillId="4" borderId="9" xfId="0" applyFont="1" applyFill="1" applyBorder="1" applyAlignment="1">
      <alignment horizontal="left" indent="1"/>
    </xf>
    <xf numFmtId="165" fontId="6" fillId="2" borderId="9" xfId="0" applyNumberFormat="1" applyFont="1" applyFill="1" applyBorder="1" applyAlignment="1">
      <alignment horizontal="center" vertical="center" wrapText="1"/>
    </xf>
    <xf numFmtId="0" fontId="1" fillId="4" borderId="9" xfId="0" applyFont="1" applyFill="1" applyBorder="1"/>
    <xf numFmtId="1" fontId="1" fillId="2" borderId="9" xfId="0" applyNumberFormat="1" applyFont="1" applyFill="1" applyBorder="1"/>
    <xf numFmtId="165" fontId="1" fillId="4" borderId="9" xfId="0" applyNumberFormat="1" applyFont="1" applyFill="1" applyBorder="1"/>
    <xf numFmtId="165" fontId="1" fillId="2" borderId="9" xfId="0" applyNumberFormat="1" applyFont="1" applyFill="1" applyBorder="1"/>
    <xf numFmtId="166" fontId="1" fillId="4" borderId="9" xfId="0" applyNumberFormat="1" applyFont="1" applyFill="1" applyBorder="1"/>
    <xf numFmtId="164" fontId="1" fillId="2" borderId="9" xfId="0" applyNumberFormat="1" applyFont="1" applyFill="1" applyBorder="1"/>
    <xf numFmtId="2" fontId="1" fillId="4" borderId="9" xfId="0" applyNumberFormat="1" applyFont="1" applyFill="1" applyBorder="1"/>
    <xf numFmtId="164" fontId="1" fillId="4" borderId="9" xfId="0" applyNumberFormat="1" applyFont="1" applyFill="1" applyBorder="1"/>
    <xf numFmtId="0" fontId="1" fillId="6" borderId="9" xfId="0" applyFont="1" applyFill="1" applyBorder="1"/>
    <xf numFmtId="1" fontId="1" fillId="6" borderId="9" xfId="0" applyNumberFormat="1" applyFont="1" applyFill="1" applyBorder="1"/>
    <xf numFmtId="165" fontId="1" fillId="6" borderId="9" xfId="0" applyNumberFormat="1" applyFont="1" applyFill="1" applyBorder="1"/>
    <xf numFmtId="10" fontId="1" fillId="6" borderId="9" xfId="0" applyNumberFormat="1" applyFont="1" applyFill="1" applyBorder="1"/>
    <xf numFmtId="164" fontId="1" fillId="6" borderId="9" xfId="0" applyNumberFormat="1" applyFont="1" applyFill="1" applyBorder="1"/>
    <xf numFmtId="2" fontId="1" fillId="6" borderId="9" xfId="0" applyNumberFormat="1" applyFont="1" applyFill="1" applyBorder="1"/>
    <xf numFmtId="0" fontId="4" fillId="3" borderId="0" xfId="0" applyFont="1" applyFill="1" applyBorder="1" applyAlignment="1">
      <alignment horizontal="center"/>
    </xf>
    <xf numFmtId="0" fontId="1" fillId="3" borderId="27" xfId="0" applyFont="1" applyFill="1" applyBorder="1" applyAlignment="1">
      <alignment vertical="center" wrapText="1"/>
    </xf>
    <xf numFmtId="0" fontId="7" fillId="3" borderId="0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vertical="center"/>
    </xf>
    <xf numFmtId="0" fontId="7" fillId="3" borderId="0" xfId="0" applyFont="1" applyFill="1" applyBorder="1" applyAlignment="1">
      <alignment vertical="center"/>
    </xf>
    <xf numFmtId="0" fontId="1" fillId="3" borderId="55" xfId="0" applyFont="1" applyFill="1" applyBorder="1"/>
    <xf numFmtId="0" fontId="1" fillId="3" borderId="9" xfId="0" applyFont="1" applyFill="1" applyBorder="1"/>
    <xf numFmtId="165" fontId="1" fillId="3" borderId="56" xfId="0" applyNumberFormat="1" applyFont="1" applyFill="1" applyBorder="1"/>
    <xf numFmtId="0" fontId="8" fillId="3" borderId="0" xfId="0" applyFont="1" applyFill="1" applyBorder="1" applyAlignment="1">
      <alignment vertical="top"/>
    </xf>
    <xf numFmtId="165" fontId="1" fillId="3" borderId="0" xfId="0" applyNumberFormat="1" applyFont="1" applyFill="1" applyBorder="1"/>
    <xf numFmtId="165" fontId="7" fillId="3" borderId="0" xfId="0" applyNumberFormat="1" applyFont="1" applyFill="1" applyBorder="1" applyAlignment="1">
      <alignment vertical="center"/>
    </xf>
    <xf numFmtId="165" fontId="7" fillId="3" borderId="0" xfId="0" applyNumberFormat="1" applyFont="1" applyFill="1" applyBorder="1" applyAlignment="1">
      <alignment horizontal="center" vertical="center"/>
    </xf>
    <xf numFmtId="2" fontId="1" fillId="3" borderId="0" xfId="0" applyNumberFormat="1" applyFont="1" applyFill="1" applyBorder="1"/>
    <xf numFmtId="164" fontId="1" fillId="3" borderId="0" xfId="0" applyNumberFormat="1" applyFont="1" applyFill="1" applyBorder="1"/>
    <xf numFmtId="0" fontId="1" fillId="6" borderId="55" xfId="0" applyFont="1" applyFill="1" applyBorder="1"/>
    <xf numFmtId="0" fontId="1" fillId="6" borderId="9" xfId="0" applyFont="1" applyFill="1" applyBorder="1"/>
    <xf numFmtId="165" fontId="1" fillId="6" borderId="56" xfId="0" applyNumberFormat="1" applyFont="1" applyFill="1" applyBorder="1"/>
    <xf numFmtId="0" fontId="8" fillId="3" borderId="57" xfId="0" applyFont="1" applyFill="1" applyBorder="1" applyAlignment="1" applyProtection="1">
      <alignment horizontal="center" vertical="center"/>
      <protection locked="0"/>
    </xf>
    <xf numFmtId="0" fontId="8" fillId="3" borderId="58" xfId="0" applyFont="1" applyFill="1" applyBorder="1" applyAlignment="1" applyProtection="1">
      <alignment horizontal="center" vertical="center"/>
      <protection locked="0"/>
    </xf>
    <xf numFmtId="0" fontId="8" fillId="3" borderId="59" xfId="0" applyFont="1" applyFill="1" applyBorder="1" applyAlignment="1" applyProtection="1">
      <alignment horizontal="center" vertical="center"/>
      <protection locked="0"/>
    </xf>
    <xf numFmtId="0" fontId="8" fillId="3" borderId="61" xfId="0" applyFont="1" applyFill="1" applyBorder="1" applyAlignment="1" applyProtection="1">
      <alignment horizontal="center" vertical="center"/>
      <protection locked="0"/>
    </xf>
    <xf numFmtId="0" fontId="8" fillId="3" borderId="62" xfId="0" applyFont="1" applyFill="1" applyBorder="1" applyAlignment="1" applyProtection="1">
      <alignment horizontal="center" vertical="center"/>
      <protection locked="0"/>
    </xf>
    <xf numFmtId="0" fontId="8" fillId="3" borderId="63" xfId="0" applyFont="1" applyFill="1" applyBorder="1" applyAlignment="1" applyProtection="1">
      <alignment horizontal="center" vertical="center"/>
      <protection locked="0"/>
    </xf>
    <xf numFmtId="0" fontId="1" fillId="4" borderId="55" xfId="0" applyFont="1" applyFill="1" applyBorder="1" applyAlignment="1">
      <alignment horizontal="center"/>
    </xf>
    <xf numFmtId="0" fontId="1" fillId="4" borderId="60" xfId="0" applyFont="1" applyFill="1" applyBorder="1" applyAlignment="1">
      <alignment horizontal="center"/>
    </xf>
    <xf numFmtId="0" fontId="1" fillId="4" borderId="56" xfId="0" applyFont="1" applyFill="1" applyBorder="1" applyAlignment="1">
      <alignment horizontal="center"/>
    </xf>
    <xf numFmtId="0" fontId="1" fillId="3" borderId="0" xfId="0" applyFont="1" applyFill="1" applyBorder="1" applyAlignment="1">
      <alignment vertical="top" wrapText="1"/>
    </xf>
    <xf numFmtId="0" fontId="1" fillId="3" borderId="0" xfId="0" applyFont="1" applyFill="1" applyBorder="1" applyAlignment="1">
      <alignment horizontal="center" vertical="center" wrapText="1"/>
    </xf>
    <xf numFmtId="10" fontId="1" fillId="6" borderId="56" xfId="0" applyNumberFormat="1" applyFont="1" applyFill="1" applyBorder="1"/>
    <xf numFmtId="10" fontId="1" fillId="3" borderId="56" xfId="0" applyNumberFormat="1" applyFont="1" applyFill="1" applyBorder="1"/>
    <xf numFmtId="0" fontId="12" fillId="9" borderId="28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6" fillId="5" borderId="64" xfId="0" applyFont="1" applyFill="1" applyBorder="1" applyAlignment="1">
      <alignment horizontal="left"/>
    </xf>
    <xf numFmtId="0" fontId="6" fillId="5" borderId="65" xfId="0" applyFont="1" applyFill="1" applyBorder="1" applyAlignment="1">
      <alignment horizontal="left"/>
    </xf>
    <xf numFmtId="0" fontId="6" fillId="5" borderId="60" xfId="0" applyFont="1" applyFill="1" applyBorder="1" applyAlignment="1">
      <alignment horizontal="left"/>
    </xf>
    <xf numFmtId="0" fontId="6" fillId="5" borderId="56" xfId="0" applyFont="1" applyFill="1" applyBorder="1" applyAlignment="1">
      <alignment horizontal="left"/>
    </xf>
    <xf numFmtId="165" fontId="1" fillId="2" borderId="9" xfId="0" applyNumberFormat="1" applyFont="1" applyFill="1" applyBorder="1"/>
    <xf numFmtId="0" fontId="1" fillId="4" borderId="40" xfId="0" applyFont="1" applyFill="1" applyBorder="1" applyAlignment="1">
      <alignment horizontal="left" indent="2"/>
    </xf>
    <xf numFmtId="0" fontId="1" fillId="4" borderId="66" xfId="0" applyFont="1" applyFill="1" applyBorder="1" applyAlignment="1">
      <alignment horizontal="left" indent="2"/>
    </xf>
    <xf numFmtId="0" fontId="1" fillId="4" borderId="67" xfId="0" applyFont="1" applyFill="1" applyBorder="1" applyAlignment="1">
      <alignment horizontal="left" indent="2"/>
    </xf>
    <xf numFmtId="1" fontId="1" fillId="4" borderId="67" xfId="0" applyNumberFormat="1" applyFont="1" applyFill="1" applyBorder="1" applyAlignment="1">
      <alignment horizontal="left" indent="2"/>
    </xf>
    <xf numFmtId="164" fontId="1" fillId="4" borderId="67" xfId="0" applyNumberFormat="1" applyFont="1" applyFill="1" applyBorder="1" applyAlignment="1">
      <alignment horizontal="left" indent="2"/>
    </xf>
    <xf numFmtId="2" fontId="1" fillId="4" borderId="68" xfId="0" applyNumberFormat="1" applyFont="1" applyFill="1" applyBorder="1" applyAlignment="1">
      <alignment horizontal="left" indent="2"/>
    </xf>
    <xf numFmtId="0" fontId="1" fillId="4" borderId="9" xfId="0" applyFont="1" applyFill="1" applyBorder="1" applyAlignment="1">
      <alignment horizontal="left" indent="2"/>
    </xf>
    <xf numFmtId="1" fontId="1" fillId="4" borderId="9" xfId="0" applyNumberFormat="1" applyFont="1" applyFill="1" applyBorder="1" applyAlignment="1">
      <alignment horizontal="left" indent="2"/>
    </xf>
    <xf numFmtId="164" fontId="1" fillId="4" borderId="9" xfId="0" applyNumberFormat="1" applyFont="1" applyFill="1" applyBorder="1" applyAlignment="1">
      <alignment horizontal="left" indent="2"/>
    </xf>
    <xf numFmtId="2" fontId="1" fillId="4" borderId="9" xfId="0" applyNumberFormat="1" applyFont="1" applyFill="1" applyBorder="1" applyAlignment="1">
      <alignment horizontal="left" indent="2"/>
    </xf>
    <xf numFmtId="0" fontId="5" fillId="5" borderId="9" xfId="0" applyFont="1" applyFill="1" applyBorder="1"/>
    <xf numFmtId="1" fontId="5" fillId="5" borderId="9" xfId="0" applyNumberFormat="1" applyFont="1" applyFill="1" applyBorder="1"/>
    <xf numFmtId="10" fontId="5" fillId="5" borderId="9" xfId="0" applyNumberFormat="1" applyFont="1" applyFill="1" applyBorder="1"/>
    <xf numFmtId="165" fontId="5" fillId="5" borderId="9" xfId="0" applyNumberFormat="1" applyFont="1" applyFill="1" applyBorder="1"/>
    <xf numFmtId="0" fontId="6" fillId="6" borderId="9" xfId="0" applyFont="1" applyFill="1" applyBorder="1" applyAlignment="1">
      <alignment horizontal="center" vertical="center" wrapText="1"/>
    </xf>
    <xf numFmtId="1" fontId="6" fillId="6" borderId="9" xfId="0" applyNumberFormat="1" applyFont="1" applyFill="1" applyBorder="1" applyAlignment="1">
      <alignment horizontal="center" vertical="center" wrapText="1"/>
    </xf>
    <xf numFmtId="10" fontId="6" fillId="6" borderId="9" xfId="0" applyNumberFormat="1" applyFont="1" applyFill="1" applyBorder="1" applyAlignment="1">
      <alignment horizontal="center" vertical="center" wrapText="1"/>
    </xf>
    <xf numFmtId="0" fontId="1" fillId="3" borderId="9" xfId="0" applyFont="1" applyFill="1" applyBorder="1"/>
    <xf numFmtId="1" fontId="1" fillId="3" borderId="9" xfId="0" applyNumberFormat="1" applyFont="1" applyFill="1" applyBorder="1"/>
    <xf numFmtId="166" fontId="1" fillId="3" borderId="9" xfId="0" applyNumberFormat="1" applyFont="1" applyFill="1" applyBorder="1"/>
    <xf numFmtId="166" fontId="1" fillId="3" borderId="0" xfId="0" applyNumberFormat="1" applyFont="1" applyFill="1"/>
    <xf numFmtId="10" fontId="1" fillId="3" borderId="9" xfId="0" applyNumberFormat="1" applyFont="1" applyFill="1" applyBorder="1"/>
    <xf numFmtId="1" fontId="1" fillId="3" borderId="28" xfId="0" applyNumberFormat="1" applyFont="1" applyFill="1" applyBorder="1"/>
    <xf numFmtId="166" fontId="1" fillId="3" borderId="28" xfId="0" applyNumberFormat="1" applyFont="1" applyFill="1" applyBorder="1"/>
    <xf numFmtId="0" fontId="1" fillId="4" borderId="55" xfId="0" applyFont="1" applyFill="1" applyBorder="1"/>
    <xf numFmtId="1" fontId="1" fillId="3" borderId="69" xfId="0" applyNumberFormat="1" applyFont="1" applyFill="1" applyBorder="1"/>
    <xf numFmtId="1" fontId="1" fillId="3" borderId="60" xfId="0" applyNumberFormat="1" applyFont="1" applyFill="1" applyBorder="1"/>
    <xf numFmtId="167" fontId="1" fillId="3" borderId="69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14375" cy="714375"/>
    <xdr:pic>
      <xdr:nvPicPr>
        <xdr:cNvPr id="2" name="Logo_637633304630642098">
          <a:extLst>
            <a:ext uri="{FF2B5EF4-FFF2-40B4-BE49-F238E27FC236}">
              <a16:creationId xmlns:a16="http://schemas.microsoft.com/office/drawing/2014/main" id="{176CDE08-2C20-40F3-A7B2-F805F2E16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14375" cy="71437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607771</xdr:colOff>
      <xdr:row>51</xdr:row>
      <xdr:rowOff>122656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4D23E0-2242-48DB-9C1B-0B24FA60E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28571" cy="93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23</xdr:col>
      <xdr:colOff>483962</xdr:colOff>
      <xdr:row>103</xdr:row>
      <xdr:rowOff>113132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47B83C-AE9D-4B51-B9AC-BB1C45018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410700"/>
          <a:ext cx="14504762" cy="93428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369676</xdr:colOff>
      <xdr:row>51</xdr:row>
      <xdr:rowOff>94084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68F1E7-4D20-4EE4-9732-21F316DE9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90476" cy="932380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all%20Solutions%20Calculator%20Unlocked%20FINAL%20VERS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tional"/>
      <sheetName val="California"/>
      <sheetName val="Washington"/>
      <sheetName val="NY - Nassau &amp; Suffolk Counties"/>
      <sheetName val="Rebates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64F0F-BCA6-4EE7-A9B5-07B052B70827}">
  <dimension ref="A1:AN124"/>
  <sheetViews>
    <sheetView showGridLines="0" tabSelected="1" zoomScale="80" zoomScaleNormal="80" workbookViewId="0">
      <selection activeCell="AI88" activeCellId="3" sqref="AI52:AN52 AI64:AN64 AI76:AN76 AI88:AN88"/>
    </sheetView>
  </sheetViews>
  <sheetFormatPr defaultColWidth="9.1796875" defaultRowHeight="13" x14ac:dyDescent="0.3"/>
  <cols>
    <col min="1" max="1" width="8.453125" style="8" customWidth="1"/>
    <col min="2" max="3" width="11.54296875" style="8" customWidth="1"/>
    <col min="4" max="4" width="15.7265625" style="8" hidden="1" customWidth="1"/>
    <col min="5" max="5" width="40.7265625" style="8" customWidth="1"/>
    <col min="6" max="6" width="20.7265625" style="8" customWidth="1"/>
    <col min="7" max="7" width="9.1796875" style="9" customWidth="1"/>
    <col min="8" max="8" width="12.7265625" style="10" customWidth="1"/>
    <col min="9" max="10" width="12.7265625" style="10" hidden="1" customWidth="1"/>
    <col min="11" max="11" width="15.7265625" style="10" customWidth="1"/>
    <col min="12" max="12" width="15.7265625" style="11" hidden="1" customWidth="1"/>
    <col min="13" max="13" width="15.7265625" style="10" hidden="1" customWidth="1"/>
    <col min="14" max="14" width="15.7265625" style="10" customWidth="1"/>
    <col min="15" max="15" width="21" style="10" hidden="1" customWidth="1"/>
    <col min="16" max="16" width="15.7265625" style="10" hidden="1" customWidth="1"/>
    <col min="17" max="17" width="9.7265625" style="12" customWidth="1"/>
    <col min="18" max="19" width="9.7265625" style="13" customWidth="1"/>
    <col min="20" max="22" width="15.7265625" style="12" hidden="1" customWidth="1"/>
    <col min="23" max="23" width="10.7265625" style="12" hidden="1" customWidth="1"/>
    <col min="24" max="31" width="15.7265625" style="12" hidden="1" customWidth="1"/>
    <col min="32" max="32" width="15.7265625" style="10" hidden="1" customWidth="1"/>
    <col min="33" max="33" width="15.7265625" style="8" hidden="1" customWidth="1"/>
    <col min="34" max="34" width="2.81640625" style="8" customWidth="1"/>
    <col min="35" max="35" width="40.7265625" style="8" customWidth="1"/>
    <col min="36" max="36" width="15.7265625" style="8" customWidth="1"/>
    <col min="37" max="37" width="10.7265625" style="9" customWidth="1"/>
    <col min="38" max="38" width="12.6328125" style="8" customWidth="1"/>
    <col min="39" max="39" width="22.08984375" style="12" customWidth="1"/>
    <col min="40" max="40" width="16.90625" style="13" customWidth="1"/>
    <col min="41" max="58" width="9.1796875" style="8" customWidth="1"/>
    <col min="59" max="16384" width="9.1796875" style="8"/>
  </cols>
  <sheetData>
    <row r="1" spans="2:40" s="1" customFormat="1" ht="66.5" customHeight="1" thickBot="1" x14ac:dyDescent="0.35">
      <c r="C1" s="2" t="s">
        <v>0</v>
      </c>
      <c r="D1" s="2"/>
      <c r="E1" s="2"/>
      <c r="F1" s="180" t="s">
        <v>1</v>
      </c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4"/>
      <c r="AK1" s="5"/>
      <c r="AM1" s="6"/>
      <c r="AN1" s="7"/>
    </row>
    <row r="2" spans="2:40" ht="14" thickTop="1" thickBot="1" x14ac:dyDescent="0.35"/>
    <row r="3" spans="2:40" ht="13" customHeight="1" x14ac:dyDescent="0.35">
      <c r="B3" s="14" t="s">
        <v>2</v>
      </c>
      <c r="C3" s="15"/>
      <c r="D3" s="15"/>
      <c r="E3" s="16"/>
      <c r="F3" s="9"/>
      <c r="G3" s="10"/>
      <c r="K3" s="17" t="s">
        <v>3</v>
      </c>
      <c r="L3" s="18"/>
      <c r="M3" s="18"/>
      <c r="N3" s="18"/>
      <c r="O3" s="18"/>
      <c r="P3" s="18"/>
      <c r="Q3" s="19"/>
      <c r="R3" s="12"/>
      <c r="T3" s="13"/>
      <c r="AF3" s="12"/>
      <c r="AG3" s="10"/>
      <c r="AJ3" s="20"/>
      <c r="AK3" s="20"/>
      <c r="AL3" s="20"/>
      <c r="AM3" s="8"/>
      <c r="AN3" s="8"/>
    </row>
    <row r="4" spans="2:40" ht="13" customHeight="1" x14ac:dyDescent="0.35">
      <c r="B4" s="21"/>
      <c r="C4" s="15"/>
      <c r="D4" s="15"/>
      <c r="E4" s="16"/>
      <c r="F4" s="9"/>
      <c r="G4" s="10"/>
      <c r="K4" s="22" t="s">
        <v>4</v>
      </c>
      <c r="L4" s="23"/>
      <c r="M4" s="23"/>
      <c r="N4" s="23" t="s">
        <v>5</v>
      </c>
      <c r="O4" s="23"/>
      <c r="P4" s="23"/>
      <c r="Q4" s="24" t="s">
        <v>6</v>
      </c>
      <c r="R4" s="12"/>
      <c r="T4" s="13"/>
      <c r="AF4" s="12"/>
      <c r="AG4" s="10"/>
      <c r="AJ4" s="20"/>
      <c r="AK4" s="20"/>
      <c r="AL4" s="20"/>
      <c r="AM4" s="8"/>
      <c r="AN4" s="8"/>
    </row>
    <row r="5" spans="2:40" ht="13.5" customHeight="1" thickBot="1" x14ac:dyDescent="0.4">
      <c r="B5" s="25" t="s">
        <v>7</v>
      </c>
      <c r="C5" s="26"/>
      <c r="D5" s="26"/>
      <c r="E5" s="27"/>
      <c r="F5" s="9"/>
      <c r="G5" s="10"/>
      <c r="K5" s="28">
        <v>5000</v>
      </c>
      <c r="L5" s="29"/>
      <c r="M5" s="29"/>
      <c r="N5" s="29">
        <v>11999.99</v>
      </c>
      <c r="O5" s="29"/>
      <c r="P5" s="29"/>
      <c r="Q5" s="30">
        <v>0.03</v>
      </c>
      <c r="R5" s="12"/>
      <c r="T5" s="13"/>
      <c r="AF5" s="12"/>
      <c r="AG5" s="10"/>
      <c r="AJ5" s="20"/>
      <c r="AK5" s="20"/>
      <c r="AL5" s="20"/>
      <c r="AM5" s="8"/>
      <c r="AN5" s="8"/>
    </row>
    <row r="6" spans="2:40" ht="14" customHeight="1" thickTop="1" thickBot="1" x14ac:dyDescent="0.4">
      <c r="B6" s="31"/>
      <c r="C6" s="26"/>
      <c r="D6" s="26"/>
      <c r="E6" s="27"/>
      <c r="F6" s="9"/>
      <c r="G6" s="10"/>
      <c r="K6" s="28">
        <v>12000</v>
      </c>
      <c r="L6" s="29"/>
      <c r="M6" s="29"/>
      <c r="N6" s="29">
        <v>16999.990000000002</v>
      </c>
      <c r="O6" s="29"/>
      <c r="P6" s="29"/>
      <c r="Q6" s="30">
        <v>0.04</v>
      </c>
      <c r="R6" s="12"/>
      <c r="T6" s="13"/>
      <c r="AF6" s="12"/>
      <c r="AG6" s="10"/>
      <c r="AJ6" s="20"/>
      <c r="AK6" s="20"/>
      <c r="AL6" s="20"/>
      <c r="AM6" s="8"/>
      <c r="AN6" s="8"/>
    </row>
    <row r="7" spans="2:40" ht="13.5" customHeight="1" thickTop="1" x14ac:dyDescent="0.35">
      <c r="B7" s="32" t="s">
        <v>8</v>
      </c>
      <c r="C7" s="33"/>
      <c r="D7" s="33"/>
      <c r="E7" s="34"/>
      <c r="F7" s="9"/>
      <c r="G7" s="10"/>
      <c r="K7" s="28">
        <v>17000</v>
      </c>
      <c r="L7" s="29"/>
      <c r="M7" s="29"/>
      <c r="N7" s="29">
        <v>26999.99</v>
      </c>
      <c r="O7" s="29"/>
      <c r="P7" s="29"/>
      <c r="Q7" s="30">
        <v>0.05</v>
      </c>
      <c r="R7" s="12"/>
      <c r="T7" s="13"/>
      <c r="AF7" s="12"/>
      <c r="AG7" s="10"/>
      <c r="AJ7" s="20"/>
      <c r="AK7" s="20"/>
      <c r="AL7" s="20"/>
      <c r="AM7" s="8"/>
      <c r="AN7" s="8"/>
    </row>
    <row r="8" spans="2:40" ht="13" customHeight="1" x14ac:dyDescent="0.35">
      <c r="B8" s="32" t="s">
        <v>9</v>
      </c>
      <c r="C8" s="33"/>
      <c r="D8" s="33"/>
      <c r="E8" s="34"/>
      <c r="F8" s="9"/>
      <c r="G8" s="10"/>
      <c r="K8" s="28">
        <v>27000</v>
      </c>
      <c r="L8" s="29"/>
      <c r="M8" s="29"/>
      <c r="N8" s="29">
        <v>31999.99</v>
      </c>
      <c r="O8" s="29"/>
      <c r="P8" s="29"/>
      <c r="Q8" s="30">
        <v>0.06</v>
      </c>
      <c r="R8" s="12"/>
      <c r="T8" s="13"/>
      <c r="AF8" s="12"/>
      <c r="AG8" s="10"/>
      <c r="AJ8" s="20"/>
      <c r="AK8" s="20"/>
      <c r="AL8" s="20"/>
      <c r="AM8" s="8"/>
      <c r="AN8" s="8"/>
    </row>
    <row r="9" spans="2:40" ht="13" customHeight="1" x14ac:dyDescent="0.35">
      <c r="B9" s="35" t="s">
        <v>10</v>
      </c>
      <c r="C9" s="36"/>
      <c r="D9" s="36"/>
      <c r="E9" s="37"/>
      <c r="F9" s="9"/>
      <c r="G9" s="10"/>
      <c r="K9" s="28">
        <v>32000</v>
      </c>
      <c r="L9" s="29"/>
      <c r="M9" s="29"/>
      <c r="N9" s="29">
        <v>41999.99</v>
      </c>
      <c r="O9" s="29"/>
      <c r="P9" s="29"/>
      <c r="Q9" s="30">
        <v>0.08</v>
      </c>
      <c r="R9" s="12"/>
      <c r="T9" s="13"/>
      <c r="AF9" s="12"/>
      <c r="AG9" s="10"/>
      <c r="AJ9" s="20"/>
      <c r="AK9" s="20"/>
      <c r="AL9" s="20"/>
      <c r="AM9" s="8"/>
      <c r="AN9" s="8"/>
    </row>
    <row r="10" spans="2:40" ht="13.5" customHeight="1" thickBot="1" x14ac:dyDescent="0.4">
      <c r="B10" s="38" t="s">
        <v>11</v>
      </c>
      <c r="C10" s="39"/>
      <c r="D10" s="39"/>
      <c r="E10" s="40"/>
      <c r="F10" s="9"/>
      <c r="G10" s="10"/>
      <c r="K10" s="41">
        <v>42000</v>
      </c>
      <c r="L10" s="42"/>
      <c r="M10" s="42"/>
      <c r="N10" s="42">
        <v>999999.99</v>
      </c>
      <c r="O10" s="42"/>
      <c r="P10" s="42"/>
      <c r="Q10" s="43">
        <v>0.09</v>
      </c>
      <c r="R10" s="12"/>
      <c r="T10" s="13"/>
      <c r="AF10" s="12"/>
      <c r="AG10" s="10"/>
      <c r="AJ10" s="20"/>
      <c r="AK10" s="20"/>
      <c r="AL10" s="20"/>
      <c r="AM10" s="8"/>
      <c r="AN10" s="8"/>
    </row>
    <row r="11" spans="2:40" x14ac:dyDescent="0.3">
      <c r="B11" s="44" t="s">
        <v>12</v>
      </c>
      <c r="C11" s="45"/>
      <c r="D11" s="45"/>
      <c r="E11" s="45"/>
      <c r="F11" s="9"/>
      <c r="G11" s="10"/>
      <c r="K11" s="11"/>
      <c r="L11" s="10"/>
      <c r="P11" s="12"/>
      <c r="Q11" s="13"/>
      <c r="S11" s="12"/>
      <c r="AE11" s="10"/>
      <c r="AF11" s="8"/>
      <c r="AJ11" s="9"/>
      <c r="AK11" s="8"/>
      <c r="AL11" s="12"/>
      <c r="AM11" s="13"/>
      <c r="AN11" s="8"/>
    </row>
    <row r="12" spans="2:40" x14ac:dyDescent="0.3">
      <c r="F12" s="9"/>
      <c r="G12" s="10"/>
      <c r="K12" s="11"/>
      <c r="L12" s="10"/>
      <c r="P12" s="12"/>
      <c r="Q12" s="13"/>
      <c r="S12" s="12"/>
      <c r="AE12" s="10"/>
      <c r="AF12" s="8"/>
      <c r="AJ12" s="9"/>
      <c r="AK12" s="8"/>
      <c r="AL12" s="12"/>
      <c r="AM12" s="13"/>
      <c r="AN12" s="8"/>
    </row>
    <row r="13" spans="2:40" x14ac:dyDescent="0.3">
      <c r="F13" s="9"/>
      <c r="G13" s="10"/>
      <c r="K13" s="11"/>
      <c r="L13" s="10"/>
      <c r="P13" s="12"/>
      <c r="Q13" s="13"/>
      <c r="S13" s="12"/>
      <c r="AE13" s="10"/>
      <c r="AF13" s="8"/>
      <c r="AJ13" s="9"/>
      <c r="AK13" s="8"/>
      <c r="AL13" s="12"/>
      <c r="AM13" s="13"/>
      <c r="AN13" s="8"/>
    </row>
    <row r="14" spans="2:40" ht="13.5" customHeight="1" thickBot="1" x14ac:dyDescent="0.35">
      <c r="B14" s="46" t="s">
        <v>13</v>
      </c>
      <c r="C14" s="46"/>
      <c r="D14" s="46"/>
      <c r="E14" s="46"/>
      <c r="F14" s="9"/>
      <c r="G14" s="10"/>
      <c r="K14" s="11"/>
      <c r="L14" s="10"/>
      <c r="P14" s="12"/>
      <c r="Q14" s="13"/>
      <c r="S14" s="12"/>
      <c r="AE14" s="10"/>
      <c r="AF14" s="8"/>
      <c r="AH14" s="46" t="s">
        <v>14</v>
      </c>
      <c r="AI14" s="46"/>
      <c r="AJ14" s="47"/>
      <c r="AK14" s="46"/>
      <c r="AL14" s="48"/>
      <c r="AM14" s="49"/>
      <c r="AN14" s="8"/>
    </row>
    <row r="15" spans="2:40" ht="14" customHeight="1" thickTop="1" thickBot="1" x14ac:dyDescent="0.35">
      <c r="B15" s="46"/>
      <c r="C15" s="46"/>
      <c r="D15" s="46"/>
      <c r="E15" s="46"/>
      <c r="F15" s="9"/>
      <c r="G15" s="10"/>
      <c r="K15" s="11"/>
      <c r="L15" s="10"/>
      <c r="P15" s="12"/>
      <c r="Q15" s="13"/>
      <c r="S15" s="12"/>
      <c r="AE15" s="10"/>
      <c r="AF15" s="8"/>
      <c r="AH15" s="46"/>
      <c r="AI15" s="46"/>
      <c r="AJ15" s="47"/>
      <c r="AK15" s="46"/>
      <c r="AL15" s="48"/>
      <c r="AM15" s="49"/>
      <c r="AN15" s="8"/>
    </row>
    <row r="16" spans="2:40" ht="24" customHeight="1" thickTop="1" x14ac:dyDescent="0.3">
      <c r="F16" s="9"/>
      <c r="G16" s="10"/>
      <c r="K16" s="11"/>
      <c r="L16" s="10"/>
      <c r="P16" s="12"/>
      <c r="Q16" s="13"/>
      <c r="S16" s="12"/>
      <c r="AE16" s="10"/>
      <c r="AF16" s="8"/>
      <c r="AH16" s="50" t="s">
        <v>15</v>
      </c>
      <c r="AI16" s="50"/>
      <c r="AJ16" s="50"/>
      <c r="AK16" s="50"/>
      <c r="AL16" s="50"/>
      <c r="AM16" s="50"/>
      <c r="AN16" s="8"/>
    </row>
    <row r="17" spans="1:40" ht="14.5" customHeight="1" x14ac:dyDescent="0.3">
      <c r="B17" s="181" t="s">
        <v>16</v>
      </c>
      <c r="C17" s="181"/>
      <c r="D17" s="181"/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1"/>
      <c r="AB17" s="181"/>
      <c r="AC17" s="181"/>
      <c r="AD17" s="181"/>
      <c r="AE17" s="181"/>
      <c r="AF17" s="181"/>
      <c r="AG17" s="182"/>
      <c r="AI17" s="51"/>
      <c r="AJ17" s="51"/>
      <c r="AK17" s="52"/>
      <c r="AL17" s="51"/>
      <c r="AM17" s="53"/>
      <c r="AN17" s="54"/>
    </row>
    <row r="18" spans="1:40" ht="13" customHeight="1" x14ac:dyDescent="0.3">
      <c r="B18" s="55" t="s">
        <v>17</v>
      </c>
      <c r="C18" s="55" t="s">
        <v>18</v>
      </c>
      <c r="D18" s="56" t="s">
        <v>19</v>
      </c>
      <c r="E18" s="56" t="s">
        <v>20</v>
      </c>
      <c r="F18" s="56" t="s">
        <v>21</v>
      </c>
      <c r="G18" s="57" t="s">
        <v>22</v>
      </c>
      <c r="H18" s="58" t="s">
        <v>23</v>
      </c>
      <c r="I18" s="58" t="s">
        <v>24</v>
      </c>
      <c r="J18" s="59" t="s">
        <v>25</v>
      </c>
      <c r="K18" s="59" t="s">
        <v>26</v>
      </c>
      <c r="L18" s="60" t="s">
        <v>6</v>
      </c>
      <c r="M18" s="58" t="s">
        <v>27</v>
      </c>
      <c r="N18" s="59" t="s">
        <v>28</v>
      </c>
      <c r="O18" s="58" t="s">
        <v>29</v>
      </c>
      <c r="P18" s="58" t="s">
        <v>30</v>
      </c>
      <c r="Q18" s="61" t="s">
        <v>31</v>
      </c>
      <c r="R18" s="62" t="s">
        <v>32</v>
      </c>
      <c r="S18" s="62" t="s">
        <v>33</v>
      </c>
      <c r="T18" s="61" t="s">
        <v>34</v>
      </c>
      <c r="U18" s="61" t="s">
        <v>4</v>
      </c>
      <c r="V18" s="61" t="s">
        <v>35</v>
      </c>
      <c r="W18" s="61" t="s">
        <v>36</v>
      </c>
      <c r="X18" s="61" t="s">
        <v>37</v>
      </c>
      <c r="Y18" s="61" t="s">
        <v>38</v>
      </c>
      <c r="Z18" s="61" t="s">
        <v>39</v>
      </c>
      <c r="AA18" s="61" t="s">
        <v>3</v>
      </c>
      <c r="AB18" s="61" t="s">
        <v>40</v>
      </c>
      <c r="AC18" s="61" t="s">
        <v>41</v>
      </c>
      <c r="AD18" s="61" t="s">
        <v>42</v>
      </c>
      <c r="AE18" s="61" t="s">
        <v>43</v>
      </c>
      <c r="AF18" s="58" t="s">
        <v>44</v>
      </c>
      <c r="AG18" s="55" t="s">
        <v>45</v>
      </c>
      <c r="AI18" s="51"/>
      <c r="AJ18" s="51"/>
      <c r="AK18" s="52"/>
      <c r="AL18" s="51"/>
      <c r="AM18" s="53"/>
      <c r="AN18" s="54"/>
    </row>
    <row r="19" spans="1:40" x14ac:dyDescent="0.3">
      <c r="B19" s="63"/>
      <c r="C19" s="63"/>
      <c r="D19" s="63"/>
      <c r="E19" s="63"/>
      <c r="F19" s="63"/>
      <c r="G19" s="64"/>
      <c r="H19" s="65"/>
      <c r="I19" s="65"/>
      <c r="J19" s="65"/>
      <c r="K19" s="65"/>
      <c r="L19" s="66"/>
      <c r="M19" s="65"/>
      <c r="N19" s="65"/>
      <c r="O19" s="65"/>
      <c r="P19" s="65"/>
      <c r="Q19" s="67"/>
      <c r="R19" s="68"/>
      <c r="S19" s="68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5"/>
      <c r="AG19" s="63"/>
    </row>
    <row r="20" spans="1:40" x14ac:dyDescent="0.3">
      <c r="B20" s="63"/>
      <c r="C20" s="63"/>
      <c r="D20" s="63"/>
      <c r="E20" s="63"/>
      <c r="F20" s="63"/>
      <c r="G20" s="64"/>
      <c r="H20" s="65"/>
      <c r="I20" s="65"/>
      <c r="J20" s="65"/>
      <c r="K20" s="65"/>
      <c r="L20" s="66"/>
      <c r="M20" s="65"/>
      <c r="N20" s="65"/>
      <c r="O20" s="65"/>
      <c r="P20" s="65"/>
      <c r="Q20" s="67"/>
      <c r="R20" s="68"/>
      <c r="S20" s="68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5"/>
      <c r="AG20" s="63"/>
      <c r="AI20" s="70" t="s">
        <v>46</v>
      </c>
      <c r="AJ20" s="71"/>
      <c r="AK20" s="71"/>
      <c r="AL20" s="71"/>
      <c r="AM20" s="71"/>
      <c r="AN20" s="72"/>
    </row>
    <row r="21" spans="1:40" ht="17.5" customHeight="1" x14ac:dyDescent="0.3">
      <c r="A21" s="13"/>
      <c r="B21" s="73"/>
      <c r="C21" s="73">
        <v>1</v>
      </c>
      <c r="D21" s="74" t="s">
        <v>47</v>
      </c>
      <c r="E21" s="74" t="s">
        <v>48</v>
      </c>
      <c r="F21" s="74" t="s">
        <v>49</v>
      </c>
      <c r="G21" s="75"/>
      <c r="H21" s="76">
        <v>334.57574999999997</v>
      </c>
      <c r="I21" s="76" t="str">
        <f t="shared" ref="I21:I53" si="0">IF(G21*H21= 0,"",G21*H21)</f>
        <v/>
      </c>
      <c r="J21" s="76">
        <v>334.57574999999997</v>
      </c>
      <c r="K21" s="76" t="str">
        <f t="shared" ref="K21:K53" si="1">IF(G21*J21= 0,"",G21*J21)</f>
        <v/>
      </c>
      <c r="L21" s="77">
        <f t="shared" ref="L21:L53" ca="1" si="2">IF(AND(AE21 &lt;&gt; "", SUM(T21:AD21) &lt;= AE21), SUM(T21:AD21), AE21)</f>
        <v>0</v>
      </c>
      <c r="M21" s="76" t="str">
        <f t="shared" ref="M21:M53" si="3">IF(G21 ="","",G21*L21*O21)</f>
        <v/>
      </c>
      <c r="N21" s="76" t="str">
        <f t="shared" ref="N21:N53" si="4">IF(AND(G21&lt;&gt;"",G21&gt;0),((K21/G21)-(M21/G21)),"")</f>
        <v/>
      </c>
      <c r="O21" s="76">
        <v>332.25</v>
      </c>
      <c r="P21" s="76" t="str">
        <f t="shared" ref="P21:P53" si="5">IF(AND(G21&lt;&gt;"",G21&gt;0), G21*N21,"")</f>
        <v/>
      </c>
      <c r="Q21" s="78">
        <v>0.16</v>
      </c>
      <c r="R21" s="79">
        <f t="shared" ref="R21:R53" si="6">Q21*43.56</f>
        <v>6.9696000000000007</v>
      </c>
      <c r="S21" s="79" t="str">
        <f>IF(AND(TRIM(R21)&lt;&gt;"",TRIM(G21)&lt;&gt;""),(G21*64)/R21,"")</f>
        <v/>
      </c>
      <c r="T21" s="80" t="str">
        <f ca="1">IF(AND(G21 &lt;&gt;"",G21&gt;0), IFERROR(VLOOKUP(G21,INDIRECT(AG21),3,TRUE),0), "")</f>
        <v/>
      </c>
      <c r="U21" s="80" t="str">
        <f t="shared" ref="U21:U53" si="7">IF(AND($AA$83&lt;0.08,$I$90="YES",$AF$83&gt;=5000,G21&lt;&gt;"",G21&gt;0),0.01,"")</f>
        <v/>
      </c>
      <c r="V21" s="80"/>
      <c r="W21" s="80"/>
      <c r="X21" s="80"/>
      <c r="Y21" s="80"/>
      <c r="Z21" s="80"/>
      <c r="AA21" s="80" t="str">
        <f t="shared" ref="AA21:AA38" si="8">IF(AND(C21 = 1, G21 &lt;&gt;""), $AA$83,"")</f>
        <v/>
      </c>
      <c r="AB21" s="80"/>
      <c r="AC21" s="80"/>
      <c r="AD21" s="80"/>
      <c r="AE21" s="80">
        <v>1</v>
      </c>
      <c r="AF21" s="76">
        <f t="shared" ref="AF21:AF53" si="9">IF(G21 = "",0,O21*G21)</f>
        <v>0</v>
      </c>
      <c r="AG21" s="74"/>
      <c r="AI21" s="81"/>
      <c r="AJ21" s="82"/>
      <c r="AK21" s="82"/>
      <c r="AL21" s="82"/>
      <c r="AM21" s="82"/>
      <c r="AN21" s="83"/>
    </row>
    <row r="22" spans="1:40" ht="17.5" customHeight="1" x14ac:dyDescent="0.3">
      <c r="A22" s="13"/>
      <c r="B22" s="73">
        <v>1</v>
      </c>
      <c r="C22" s="73">
        <v>1</v>
      </c>
      <c r="D22" s="74" t="s">
        <v>50</v>
      </c>
      <c r="E22" s="74" t="s">
        <v>51</v>
      </c>
      <c r="F22" s="74" t="s">
        <v>52</v>
      </c>
      <c r="G22" s="75"/>
      <c r="H22" s="76">
        <v>1006.1944</v>
      </c>
      <c r="I22" s="76" t="str">
        <f t="shared" si="0"/>
        <v/>
      </c>
      <c r="J22" s="76">
        <v>1006.1944</v>
      </c>
      <c r="K22" s="76" t="str">
        <f t="shared" si="1"/>
        <v/>
      </c>
      <c r="L22" s="77">
        <f ca="1">IF(AND(AE22 &lt;&gt; "", SUM(T22:AD22) &lt;= AE22), SUM(T22:AD22), AE22)</f>
        <v>0</v>
      </c>
      <c r="M22" s="76" t="str">
        <f>IF(G22 ="","",G22*L22*O22)</f>
        <v/>
      </c>
      <c r="N22" s="76" t="str">
        <f t="shared" si="4"/>
        <v/>
      </c>
      <c r="O22" s="76">
        <v>999.2</v>
      </c>
      <c r="P22" s="76" t="str">
        <f t="shared" si="5"/>
        <v/>
      </c>
      <c r="Q22" s="78">
        <v>2</v>
      </c>
      <c r="R22" s="79">
        <f t="shared" si="6"/>
        <v>87.12</v>
      </c>
      <c r="S22" s="79" t="str">
        <f>IF(AND(TRIM(R22)&lt;&gt;"",TRIM(G22)&lt;&gt;""),(G22*319.999849189052)/R22,"")</f>
        <v/>
      </c>
      <c r="T22" s="80" t="str">
        <f t="shared" ref="T22:T53" ca="1" si="10">IF(AND(G22 &lt;&gt;"",G22&gt;0), IFERROR(VLOOKUP(G22,INDIRECT(AG22),3,TRUE),0), "")</f>
        <v/>
      </c>
      <c r="U22" s="80" t="str">
        <f t="shared" si="7"/>
        <v/>
      </c>
      <c r="V22" s="80"/>
      <c r="W22" s="80"/>
      <c r="X22" s="80"/>
      <c r="Y22" s="80"/>
      <c r="Z22" s="80"/>
      <c r="AA22" s="80" t="str">
        <f t="shared" si="8"/>
        <v/>
      </c>
      <c r="AB22" s="80" t="str">
        <f>IF(G22 = "", "", IF(OR(AND(AND(G22 &gt;= 4, G22 &lt;= 999999), AND(SUM(G28) &gt;= 3, SUM(G28) &lt; 999999)),AND(AND(G22 &gt;= 4, G22 &lt;= 999999), AND(SUM(G43) &gt;= 24, SUM(G43) &lt; 999999))), 0.025020016012,""))</f>
        <v/>
      </c>
      <c r="AC22" s="80"/>
      <c r="AD22" s="80"/>
      <c r="AE22" s="80">
        <v>1</v>
      </c>
      <c r="AF22" s="76">
        <f t="shared" si="9"/>
        <v>0</v>
      </c>
      <c r="AG22" s="74" t="s">
        <v>53</v>
      </c>
      <c r="AI22" s="84"/>
      <c r="AJ22" s="85"/>
      <c r="AK22" s="85"/>
      <c r="AL22" s="85"/>
      <c r="AM22" s="85"/>
      <c r="AN22" s="86"/>
    </row>
    <row r="23" spans="1:40" ht="17.5" customHeight="1" thickBot="1" x14ac:dyDescent="0.35">
      <c r="A23" s="13"/>
      <c r="B23" s="73"/>
      <c r="C23" s="73">
        <v>1</v>
      </c>
      <c r="D23" s="74" t="s">
        <v>54</v>
      </c>
      <c r="E23" s="74" t="s">
        <v>55</v>
      </c>
      <c r="F23" s="74" t="s">
        <v>52</v>
      </c>
      <c r="G23" s="75"/>
      <c r="H23" s="76">
        <v>1394.69</v>
      </c>
      <c r="I23" s="76" t="str">
        <f t="shared" si="0"/>
        <v/>
      </c>
      <c r="J23" s="76">
        <v>1394.69</v>
      </c>
      <c r="K23" s="76" t="str">
        <f t="shared" si="1"/>
        <v/>
      </c>
      <c r="L23" s="77">
        <f t="shared" ca="1" si="2"/>
        <v>0</v>
      </c>
      <c r="M23" s="76" t="str">
        <f t="shared" si="3"/>
        <v/>
      </c>
      <c r="N23" s="76" t="str">
        <f t="shared" si="4"/>
        <v/>
      </c>
      <c r="O23" s="76">
        <v>1385</v>
      </c>
      <c r="P23" s="76" t="str">
        <f t="shared" si="5"/>
        <v/>
      </c>
      <c r="Q23" s="78">
        <v>1</v>
      </c>
      <c r="R23" s="79">
        <f t="shared" si="6"/>
        <v>43.56</v>
      </c>
      <c r="S23" s="79" t="str">
        <f>IF(AND(TRIM(R23)&lt;&gt;"",TRIM(G23)&lt;&gt;""),(G23*319.999849189052)/R23,"")</f>
        <v/>
      </c>
      <c r="T23" s="80" t="str">
        <f t="shared" ca="1" si="10"/>
        <v/>
      </c>
      <c r="U23" s="80" t="str">
        <f t="shared" si="7"/>
        <v/>
      </c>
      <c r="V23" s="80"/>
      <c r="W23" s="80"/>
      <c r="X23" s="80"/>
      <c r="Y23" s="80"/>
      <c r="Z23" s="80"/>
      <c r="AA23" s="80" t="str">
        <f t="shared" si="8"/>
        <v/>
      </c>
      <c r="AB23" s="80"/>
      <c r="AC23" s="80"/>
      <c r="AD23" s="80"/>
      <c r="AE23" s="80">
        <v>1</v>
      </c>
      <c r="AF23" s="76">
        <f t="shared" si="9"/>
        <v>0</v>
      </c>
      <c r="AG23" s="74" t="s">
        <v>56</v>
      </c>
      <c r="AI23" s="87"/>
      <c r="AJ23" s="88"/>
      <c r="AK23" s="88"/>
      <c r="AL23" s="88"/>
      <c r="AM23" s="88"/>
      <c r="AN23" s="89"/>
    </row>
    <row r="24" spans="1:40" ht="17.5" customHeight="1" thickTop="1" x14ac:dyDescent="0.3">
      <c r="A24" s="13"/>
      <c r="B24" s="73"/>
      <c r="C24" s="73">
        <v>1</v>
      </c>
      <c r="D24" s="74" t="s">
        <v>54</v>
      </c>
      <c r="E24" s="74" t="s">
        <v>57</v>
      </c>
      <c r="F24" s="74" t="s">
        <v>52</v>
      </c>
      <c r="G24" s="75"/>
      <c r="H24" s="76">
        <v>1394.69</v>
      </c>
      <c r="I24" s="76" t="str">
        <f t="shared" si="0"/>
        <v/>
      </c>
      <c r="J24" s="76">
        <v>1309.0999999999999</v>
      </c>
      <c r="K24" s="76" t="str">
        <f t="shared" si="1"/>
        <v/>
      </c>
      <c r="L24" s="77">
        <f t="shared" ref="L24" ca="1" si="11">IF(AND(AE24 &lt;&gt; "", SUM(T24:AD24) &lt;= AE24), SUM(T24:AD24), AE24)</f>
        <v>0</v>
      </c>
      <c r="M24" s="76" t="str">
        <f t="shared" si="3"/>
        <v/>
      </c>
      <c r="N24" s="76" t="str">
        <f t="shared" si="4"/>
        <v/>
      </c>
      <c r="O24" s="76">
        <v>1300</v>
      </c>
      <c r="P24" s="76" t="str">
        <f t="shared" si="5"/>
        <v/>
      </c>
      <c r="Q24" s="78">
        <v>1</v>
      </c>
      <c r="R24" s="79">
        <f t="shared" si="6"/>
        <v>43.56</v>
      </c>
      <c r="S24" s="79" t="str">
        <f>IF(AND(TRIM(R24)&lt;&gt;"",TRIM(G24)&lt;&gt;""),(G24*319.999849189052)/R24,"")</f>
        <v/>
      </c>
      <c r="T24" s="80" t="str">
        <f t="shared" ca="1" si="10"/>
        <v/>
      </c>
      <c r="U24" s="80" t="str">
        <f t="shared" si="7"/>
        <v/>
      </c>
      <c r="V24" s="80"/>
      <c r="W24" s="80"/>
      <c r="X24" s="80"/>
      <c r="Y24" s="80"/>
      <c r="Z24" s="80"/>
      <c r="AA24" s="80" t="str">
        <f t="shared" si="8"/>
        <v/>
      </c>
      <c r="AB24" s="80"/>
      <c r="AC24" s="80"/>
      <c r="AD24" s="80"/>
      <c r="AE24" s="80">
        <v>1</v>
      </c>
      <c r="AF24" s="76">
        <f t="shared" si="9"/>
        <v>0</v>
      </c>
      <c r="AG24" s="74" t="s">
        <v>56</v>
      </c>
      <c r="AI24" s="90"/>
      <c r="AJ24" s="91"/>
      <c r="AK24" s="91"/>
      <c r="AL24" s="91"/>
      <c r="AM24" s="91"/>
      <c r="AN24" s="92"/>
    </row>
    <row r="25" spans="1:40" ht="17.5" customHeight="1" x14ac:dyDescent="0.3">
      <c r="A25" s="13"/>
      <c r="B25" s="73"/>
      <c r="C25" s="73">
        <v>1</v>
      </c>
      <c r="D25" s="74" t="s">
        <v>58</v>
      </c>
      <c r="E25" s="74" t="s">
        <v>59</v>
      </c>
      <c r="F25" s="74" t="s">
        <v>60</v>
      </c>
      <c r="G25" s="75"/>
      <c r="H25" s="76">
        <v>108.40355</v>
      </c>
      <c r="I25" s="76" t="str">
        <f t="shared" si="0"/>
        <v/>
      </c>
      <c r="J25" s="76">
        <v>108.40355</v>
      </c>
      <c r="K25" s="76" t="str">
        <f t="shared" si="1"/>
        <v/>
      </c>
      <c r="L25" s="77">
        <f ca="1">IF(AND(AE25 &lt;&gt; "", SUM(T25:AD25) &lt;= AE25), SUM(T25:AD25), AE25)</f>
        <v>0</v>
      </c>
      <c r="M25" s="76" t="str">
        <f t="shared" si="3"/>
        <v/>
      </c>
      <c r="N25" s="76" t="str">
        <f t="shared" si="4"/>
        <v/>
      </c>
      <c r="O25" s="76">
        <v>107.65</v>
      </c>
      <c r="P25" s="76" t="str">
        <f t="shared" si="5"/>
        <v/>
      </c>
      <c r="Q25" s="78">
        <v>0.113</v>
      </c>
      <c r="R25" s="79">
        <f t="shared" si="6"/>
        <v>4.9222800000000007</v>
      </c>
      <c r="S25" s="79" t="str">
        <f>IF(AND(TRIM(R25)&lt;&gt;"",TRIM(G25)&lt;&gt;""),(G25*10)/R25,"")</f>
        <v/>
      </c>
      <c r="T25" s="80" t="str">
        <f t="shared" ca="1" si="10"/>
        <v/>
      </c>
      <c r="U25" s="80" t="str">
        <f t="shared" si="7"/>
        <v/>
      </c>
      <c r="V25" s="80"/>
      <c r="W25" s="80"/>
      <c r="X25" s="80"/>
      <c r="Y25" s="80"/>
      <c r="Z25" s="80"/>
      <c r="AA25" s="80" t="str">
        <f t="shared" si="8"/>
        <v/>
      </c>
      <c r="AB25" s="80" t="str">
        <f>IF(G25 = "", "", IF(AND(AND(G25 &gt;= 16, G25 &lt;= 999999), AND(SUM(G44:G47) &gt;= 2, SUM(G44:G47) &lt; 999999)), 0.0464468184,""))</f>
        <v/>
      </c>
      <c r="AC25" s="80"/>
      <c r="AD25" s="80"/>
      <c r="AE25" s="80">
        <v>1</v>
      </c>
      <c r="AF25" s="76">
        <f t="shared" si="9"/>
        <v>0</v>
      </c>
      <c r="AG25" s="74" t="s">
        <v>61</v>
      </c>
      <c r="AI25" s="93" t="s">
        <v>62</v>
      </c>
      <c r="AJ25" s="94" t="s">
        <v>21</v>
      </c>
      <c r="AK25" s="95" t="s">
        <v>22</v>
      </c>
      <c r="AL25" s="94" t="s">
        <v>63</v>
      </c>
      <c r="AM25" s="96" t="s">
        <v>31</v>
      </c>
      <c r="AN25" s="97" t="s">
        <v>64</v>
      </c>
    </row>
    <row r="26" spans="1:40" ht="17.5" customHeight="1" x14ac:dyDescent="0.3">
      <c r="A26" s="13"/>
      <c r="B26" s="73">
        <v>1</v>
      </c>
      <c r="C26" s="73">
        <v>1</v>
      </c>
      <c r="D26" s="74" t="s">
        <v>220</v>
      </c>
      <c r="E26" s="74" t="s">
        <v>221</v>
      </c>
      <c r="F26" s="74" t="s">
        <v>60</v>
      </c>
      <c r="G26" s="75"/>
      <c r="H26" s="76">
        <v>148.029</v>
      </c>
      <c r="I26" s="76" t="str">
        <f t="shared" si="0"/>
        <v/>
      </c>
      <c r="J26" s="76">
        <v>148.029</v>
      </c>
      <c r="K26" s="76" t="str">
        <f t="shared" si="1"/>
        <v/>
      </c>
      <c r="L26" s="77">
        <f t="shared" ca="1" si="2"/>
        <v>0</v>
      </c>
      <c r="M26" s="76" t="str">
        <f t="shared" si="3"/>
        <v/>
      </c>
      <c r="N26" s="76" t="str">
        <f t="shared" si="4"/>
        <v/>
      </c>
      <c r="O26" s="76">
        <v>147</v>
      </c>
      <c r="P26" s="76" t="str">
        <f t="shared" si="5"/>
        <v/>
      </c>
      <c r="Q26" s="78">
        <v>0.22900000000000001</v>
      </c>
      <c r="R26" s="79">
        <f t="shared" si="6"/>
        <v>9.9752400000000012</v>
      </c>
      <c r="S26" s="79" t="str">
        <f>IF(AND(TRIM(R26)&lt;&gt;"",TRIM(G26)&lt;&gt;""),(G26*10)/R26,"")</f>
        <v/>
      </c>
      <c r="T26" s="80" t="str">
        <f t="shared" ca="1" si="10"/>
        <v/>
      </c>
      <c r="U26" s="80" t="str">
        <f t="shared" si="7"/>
        <v/>
      </c>
      <c r="V26" s="80"/>
      <c r="W26" s="80"/>
      <c r="X26" s="80"/>
      <c r="Y26" s="80"/>
      <c r="Z26" s="80"/>
      <c r="AA26" s="80" t="str">
        <f t="shared" si="8"/>
        <v/>
      </c>
      <c r="AB26" s="80" t="str">
        <f>IF(G26 = "", "", IF(AND(AND(G26 &gt;= 16, G26 &lt;= 999999), AND(SUM(G44:G47) &gt;= 2, SUM(G44:G47) &lt; 999999)), 0.0680272109,""))</f>
        <v/>
      </c>
      <c r="AC26" s="80"/>
      <c r="AD26" s="80"/>
      <c r="AE26" s="80">
        <v>1</v>
      </c>
      <c r="AF26" s="76">
        <f t="shared" si="9"/>
        <v>0</v>
      </c>
      <c r="AG26" s="74" t="s">
        <v>222</v>
      </c>
      <c r="AI26" s="73" t="s">
        <v>68</v>
      </c>
      <c r="AJ26" s="73" t="s">
        <v>60</v>
      </c>
      <c r="AK26" s="98">
        <v>16</v>
      </c>
      <c r="AL26" s="73" t="s">
        <v>69</v>
      </c>
      <c r="AM26" s="99">
        <v>0.113</v>
      </c>
      <c r="AN26" s="100">
        <f>(AK26*10)/(AM26*43.56)</f>
        <v>32.505261789252131</v>
      </c>
    </row>
    <row r="27" spans="1:40" ht="17.5" customHeight="1" x14ac:dyDescent="0.3">
      <c r="A27" s="13"/>
      <c r="B27" s="73">
        <v>1</v>
      </c>
      <c r="C27" s="73">
        <v>1</v>
      </c>
      <c r="D27" s="74" t="s">
        <v>65</v>
      </c>
      <c r="E27" s="74" t="s">
        <v>66</v>
      </c>
      <c r="F27" s="74" t="s">
        <v>67</v>
      </c>
      <c r="G27" s="75"/>
      <c r="H27" s="76">
        <v>1326.24</v>
      </c>
      <c r="I27" s="76" t="str">
        <f t="shared" si="0"/>
        <v/>
      </c>
      <c r="J27" s="76">
        <v>1326.24</v>
      </c>
      <c r="K27" s="76" t="str">
        <f t="shared" si="1"/>
        <v/>
      </c>
      <c r="L27" s="77">
        <f t="shared" ca="1" si="2"/>
        <v>0</v>
      </c>
      <c r="M27" s="76" t="str">
        <f t="shared" si="3"/>
        <v/>
      </c>
      <c r="N27" s="76" t="str">
        <f t="shared" si="4"/>
        <v/>
      </c>
      <c r="O27" s="76">
        <v>1317.04</v>
      </c>
      <c r="P27" s="76" t="str">
        <f t="shared" si="5"/>
        <v/>
      </c>
      <c r="Q27" s="78">
        <v>4</v>
      </c>
      <c r="R27" s="79">
        <f t="shared" si="6"/>
        <v>174.24</v>
      </c>
      <c r="S27" s="79" t="str">
        <f>IF(AND(TRIM(R27)&lt;&gt;"",TRIM(G27)&lt;&gt;""),(G27*703.999999010471)/R27,"")</f>
        <v/>
      </c>
      <c r="T27" s="80" t="str">
        <f t="shared" ca="1" si="10"/>
        <v/>
      </c>
      <c r="U27" s="80" t="str">
        <f t="shared" si="7"/>
        <v/>
      </c>
      <c r="V27" s="80"/>
      <c r="W27" s="80"/>
      <c r="X27" s="80"/>
      <c r="Y27" s="80"/>
      <c r="Z27" s="80"/>
      <c r="AA27" s="80" t="str">
        <f t="shared" si="8"/>
        <v/>
      </c>
      <c r="AB27" s="80" t="str">
        <f>IF(G27 = "", "", IF(AND(AND(G27 &gt;= 3, G27 &lt;= 999999), AND(SUM(G22:G22) &gt;= 4, SUM(G22:G22) &lt; 999999)), 0.024232633279,""))</f>
        <v/>
      </c>
      <c r="AC27" s="80"/>
      <c r="AD27" s="80"/>
      <c r="AE27" s="80">
        <v>1</v>
      </c>
      <c r="AF27" s="76">
        <f t="shared" si="9"/>
        <v>0</v>
      </c>
      <c r="AG27" s="74"/>
      <c r="AI27" s="73" t="s">
        <v>71</v>
      </c>
      <c r="AJ27" s="73" t="s">
        <v>72</v>
      </c>
      <c r="AK27" s="98">
        <v>2</v>
      </c>
      <c r="AL27" s="73" t="s">
        <v>73</v>
      </c>
      <c r="AM27" s="99">
        <v>0.13800000000000001</v>
      </c>
      <c r="AN27" s="100">
        <f>(AK27*127.999939675621)/(AM27*43.56)</f>
        <v>42.586583781031983</v>
      </c>
    </row>
    <row r="28" spans="1:40" ht="17.5" customHeight="1" x14ac:dyDescent="0.3">
      <c r="A28" s="13"/>
      <c r="B28" s="73">
        <v>1</v>
      </c>
      <c r="C28" s="73">
        <v>1</v>
      </c>
      <c r="D28" s="74" t="s">
        <v>65</v>
      </c>
      <c r="E28" s="74" t="s">
        <v>70</v>
      </c>
      <c r="F28" s="74" t="s">
        <v>67</v>
      </c>
      <c r="G28" s="75"/>
      <c r="H28" s="76">
        <v>1326.2592799999998</v>
      </c>
      <c r="I28" s="76" t="str">
        <f t="shared" si="0"/>
        <v/>
      </c>
      <c r="J28" s="76">
        <v>1246.6400000000001</v>
      </c>
      <c r="K28" s="76" t="str">
        <f t="shared" si="1"/>
        <v/>
      </c>
      <c r="L28" s="77">
        <f t="shared" ca="1" si="2"/>
        <v>0</v>
      </c>
      <c r="M28" s="76" t="str">
        <f t="shared" si="3"/>
        <v/>
      </c>
      <c r="N28" s="76" t="str">
        <f t="shared" si="4"/>
        <v/>
      </c>
      <c r="O28" s="76">
        <v>1238</v>
      </c>
      <c r="P28" s="76" t="str">
        <f t="shared" si="5"/>
        <v/>
      </c>
      <c r="Q28" s="78">
        <v>4</v>
      </c>
      <c r="R28" s="79">
        <f t="shared" si="6"/>
        <v>174.24</v>
      </c>
      <c r="S28" s="79" t="str">
        <f>IF(AND(TRIM(R28)&lt;&gt;"",TRIM(G28)&lt;&gt;""),(G28*703.999999010471)/R28,"")</f>
        <v/>
      </c>
      <c r="T28" s="80" t="str">
        <f t="shared" ca="1" si="10"/>
        <v/>
      </c>
      <c r="U28" s="80" t="str">
        <f t="shared" si="7"/>
        <v/>
      </c>
      <c r="V28" s="80"/>
      <c r="W28" s="80"/>
      <c r="X28" s="80"/>
      <c r="Y28" s="80"/>
      <c r="Z28" s="80"/>
      <c r="AA28" s="80" t="str">
        <f t="shared" si="8"/>
        <v/>
      </c>
      <c r="AB28" s="80" t="str">
        <f>IF(G28 = "", "", IF(AND(AND(G28 &gt;= 3, G28 &lt;= 999999), AND(SUM(G22:G22) &gt;= 4, SUM(G22:G22) &lt; 999999)), 0.024232633279,""))</f>
        <v/>
      </c>
      <c r="AC28" s="80"/>
      <c r="AD28" s="80"/>
      <c r="AE28" s="80">
        <v>1</v>
      </c>
      <c r="AF28" s="76">
        <f t="shared" si="9"/>
        <v>0</v>
      </c>
      <c r="AG28" s="74"/>
      <c r="AI28" s="93" t="s">
        <v>77</v>
      </c>
      <c r="AJ28" s="94" t="s">
        <v>21</v>
      </c>
      <c r="AK28" s="95" t="s">
        <v>22</v>
      </c>
      <c r="AL28" s="94" t="s">
        <v>63</v>
      </c>
      <c r="AM28" s="96" t="s">
        <v>31</v>
      </c>
      <c r="AN28" s="97" t="s">
        <v>64</v>
      </c>
    </row>
    <row r="29" spans="1:40" ht="17.5" customHeight="1" x14ac:dyDescent="0.3">
      <c r="A29" s="13"/>
      <c r="B29" s="73">
        <v>1</v>
      </c>
      <c r="C29" s="73">
        <v>1</v>
      </c>
      <c r="D29" s="74" t="s">
        <v>223</v>
      </c>
      <c r="E29" s="74" t="s">
        <v>224</v>
      </c>
      <c r="F29" s="74" t="s">
        <v>225</v>
      </c>
      <c r="G29" s="75"/>
      <c r="H29" s="76">
        <v>604.19999999999993</v>
      </c>
      <c r="I29" s="76" t="str">
        <f t="shared" si="0"/>
        <v/>
      </c>
      <c r="J29" s="76">
        <v>604.19999999999993</v>
      </c>
      <c r="K29" s="76" t="str">
        <f t="shared" si="1"/>
        <v/>
      </c>
      <c r="L29" s="77">
        <f t="shared" ca="1" si="2"/>
        <v>0</v>
      </c>
      <c r="M29" s="76" t="str">
        <f t="shared" si="3"/>
        <v/>
      </c>
      <c r="N29" s="76" t="str">
        <f t="shared" si="4"/>
        <v/>
      </c>
      <c r="O29" s="76">
        <v>600</v>
      </c>
      <c r="P29" s="76" t="str">
        <f t="shared" si="5"/>
        <v/>
      </c>
      <c r="Q29" s="78">
        <v>0.19500000000000001</v>
      </c>
      <c r="R29" s="79">
        <f t="shared" si="6"/>
        <v>8.4942000000000011</v>
      </c>
      <c r="S29" s="79" t="str">
        <f>IF(AND(TRIM(R29)&lt;&gt;"",TRIM(G29)&lt;&gt;""),(G29*51)/R29,"")</f>
        <v/>
      </c>
      <c r="T29" s="80" t="str">
        <f t="shared" ca="1" si="10"/>
        <v/>
      </c>
      <c r="U29" s="80" t="str">
        <f t="shared" si="7"/>
        <v/>
      </c>
      <c r="V29" s="80"/>
      <c r="W29" s="80"/>
      <c r="X29" s="80"/>
      <c r="Y29" s="80"/>
      <c r="Z29" s="80"/>
      <c r="AA29" s="80" t="str">
        <f t="shared" si="8"/>
        <v/>
      </c>
      <c r="AB29" s="80" t="str">
        <f>IF(G29 = "", "", IF(AND(AND(G29 &gt;= 4, G29 &lt;= 999999), AND(SUM(G52:G52) &gt;= 1, SUM(G52:G52) &lt; 999999)), 0.05,""))</f>
        <v/>
      </c>
      <c r="AC29" s="80"/>
      <c r="AD29" s="80"/>
      <c r="AE29" s="80">
        <v>1</v>
      </c>
      <c r="AF29" s="76">
        <f t="shared" si="9"/>
        <v>0</v>
      </c>
      <c r="AG29" s="74"/>
      <c r="AI29" s="101" t="s">
        <v>81</v>
      </c>
      <c r="AJ29" s="102"/>
      <c r="AK29" s="102"/>
      <c r="AL29" s="102"/>
      <c r="AM29" s="102"/>
      <c r="AN29" s="103"/>
    </row>
    <row r="30" spans="1:40" ht="17.5" customHeight="1" x14ac:dyDescent="0.3">
      <c r="A30" s="13"/>
      <c r="B30" s="73"/>
      <c r="C30" s="73">
        <v>1</v>
      </c>
      <c r="D30" s="74" t="s">
        <v>74</v>
      </c>
      <c r="E30" s="74" t="s">
        <v>75</v>
      </c>
      <c r="F30" s="74" t="s">
        <v>52</v>
      </c>
      <c r="G30" s="75"/>
      <c r="H30" s="76">
        <v>288.00199999999995</v>
      </c>
      <c r="I30" s="76" t="str">
        <f t="shared" si="0"/>
        <v/>
      </c>
      <c r="J30" s="76">
        <v>288.00199999999995</v>
      </c>
      <c r="K30" s="76" t="str">
        <f t="shared" si="1"/>
        <v/>
      </c>
      <c r="L30" s="77">
        <f t="shared" ca="1" si="2"/>
        <v>0</v>
      </c>
      <c r="M30" s="76" t="str">
        <f t="shared" si="3"/>
        <v/>
      </c>
      <c r="N30" s="76" t="str">
        <f t="shared" si="4"/>
        <v/>
      </c>
      <c r="O30" s="76">
        <v>286</v>
      </c>
      <c r="P30" s="76" t="str">
        <f t="shared" si="5"/>
        <v/>
      </c>
      <c r="Q30" s="78">
        <v>4</v>
      </c>
      <c r="R30" s="79">
        <f t="shared" si="6"/>
        <v>174.24</v>
      </c>
      <c r="S30" s="79" t="str">
        <f>IF(AND(TRIM(R30)&lt;&gt;"",TRIM(G30)&lt;&gt;""),(G30*319.999849189052)/R30,"")</f>
        <v/>
      </c>
      <c r="T30" s="80" t="str">
        <f t="shared" ca="1" si="10"/>
        <v/>
      </c>
      <c r="U30" s="80" t="str">
        <f t="shared" si="7"/>
        <v/>
      </c>
      <c r="V30" s="80"/>
      <c r="W30" s="80"/>
      <c r="X30" s="80"/>
      <c r="Y30" s="80"/>
      <c r="Z30" s="80"/>
      <c r="AA30" s="80" t="str">
        <f t="shared" si="8"/>
        <v/>
      </c>
      <c r="AB30" s="80" t="str">
        <f>IF(G30 = "", "", IF(AND(AND(G30 &gt;= 16, G30 &lt;= 999999), AND(SUM(G51) &gt;= 6, SUM(G51) &lt; 999999)), 0.0244755245,""))</f>
        <v/>
      </c>
      <c r="AC30" s="80"/>
      <c r="AD30" s="80"/>
      <c r="AE30" s="80">
        <v>1</v>
      </c>
      <c r="AF30" s="76">
        <f t="shared" si="9"/>
        <v>0</v>
      </c>
      <c r="AG30" s="74" t="s">
        <v>76</v>
      </c>
      <c r="AI30" s="104"/>
      <c r="AJ30" s="104"/>
      <c r="AK30" s="104"/>
      <c r="AL30" s="104"/>
      <c r="AM30" s="104"/>
      <c r="AN30" s="104"/>
    </row>
    <row r="31" spans="1:40" ht="17.5" customHeight="1" x14ac:dyDescent="0.3">
      <c r="A31" s="13"/>
      <c r="B31" s="73"/>
      <c r="C31" s="73">
        <v>1</v>
      </c>
      <c r="D31" s="74" t="s">
        <v>78</v>
      </c>
      <c r="E31" s="74" t="s">
        <v>79</v>
      </c>
      <c r="F31" s="74" t="s">
        <v>52</v>
      </c>
      <c r="G31" s="75"/>
      <c r="H31" s="76">
        <v>143.37</v>
      </c>
      <c r="I31" s="76" t="str">
        <f t="shared" si="0"/>
        <v/>
      </c>
      <c r="J31" s="76">
        <v>143.37</v>
      </c>
      <c r="K31" s="76" t="str">
        <f t="shared" si="1"/>
        <v/>
      </c>
      <c r="L31" s="77">
        <f t="shared" ca="1" si="2"/>
        <v>0</v>
      </c>
      <c r="M31" s="76" t="str">
        <f t="shared" si="3"/>
        <v/>
      </c>
      <c r="N31" s="76" t="str">
        <f t="shared" si="4"/>
        <v/>
      </c>
      <c r="O31" s="76">
        <v>142.38</v>
      </c>
      <c r="P31" s="76" t="str">
        <f t="shared" si="5"/>
        <v/>
      </c>
      <c r="Q31" s="78">
        <v>5</v>
      </c>
      <c r="R31" s="79">
        <f t="shared" si="6"/>
        <v>217.8</v>
      </c>
      <c r="S31" s="79" t="str">
        <f>IF(AND(TRIM(R31)&lt;&gt;"",TRIM(G31)&lt;&gt;""),(G31*319.999849189052)/R31,"")</f>
        <v/>
      </c>
      <c r="T31" s="80" t="str">
        <f t="shared" ca="1" si="10"/>
        <v/>
      </c>
      <c r="U31" s="80" t="str">
        <f t="shared" si="7"/>
        <v/>
      </c>
      <c r="V31" s="80"/>
      <c r="W31" s="80"/>
      <c r="X31" s="80"/>
      <c r="Y31" s="80"/>
      <c r="Z31" s="80"/>
      <c r="AA31" s="80" t="str">
        <f t="shared" si="8"/>
        <v/>
      </c>
      <c r="AB31" s="80"/>
      <c r="AC31" s="80"/>
      <c r="AD31" s="80"/>
      <c r="AE31" s="80">
        <v>1</v>
      </c>
      <c r="AF31" s="76">
        <f t="shared" si="9"/>
        <v>0</v>
      </c>
      <c r="AG31" s="74" t="s">
        <v>80</v>
      </c>
      <c r="AI31" s="70" t="s">
        <v>226</v>
      </c>
      <c r="AJ31" s="71"/>
      <c r="AK31" s="71"/>
      <c r="AL31" s="71"/>
      <c r="AM31" s="71"/>
      <c r="AN31" s="72"/>
    </row>
    <row r="32" spans="1:40" ht="17.5" customHeight="1" x14ac:dyDescent="0.3">
      <c r="A32" s="13"/>
      <c r="B32" s="73">
        <v>1</v>
      </c>
      <c r="C32" s="73">
        <v>1</v>
      </c>
      <c r="D32" s="74" t="s">
        <v>82</v>
      </c>
      <c r="E32" s="74" t="s">
        <v>83</v>
      </c>
      <c r="F32" s="74" t="s">
        <v>84</v>
      </c>
      <c r="G32" s="75"/>
      <c r="H32" s="76">
        <v>1711.8999999999999</v>
      </c>
      <c r="I32" s="76" t="str">
        <f t="shared" si="0"/>
        <v/>
      </c>
      <c r="J32" s="76">
        <v>1711.8999999999999</v>
      </c>
      <c r="K32" s="76" t="str">
        <f t="shared" si="1"/>
        <v/>
      </c>
      <c r="L32" s="77">
        <f t="shared" ca="1" si="2"/>
        <v>0</v>
      </c>
      <c r="M32" s="76" t="str">
        <f t="shared" si="3"/>
        <v/>
      </c>
      <c r="N32" s="76" t="str">
        <f t="shared" si="4"/>
        <v/>
      </c>
      <c r="O32" s="76">
        <v>1700</v>
      </c>
      <c r="P32" s="76" t="str">
        <f t="shared" si="5"/>
        <v/>
      </c>
      <c r="Q32" s="78">
        <v>0.39</v>
      </c>
      <c r="R32" s="79">
        <f t="shared" si="6"/>
        <v>16.988400000000002</v>
      </c>
      <c r="S32" s="79" t="str">
        <f>IF(AND(TRIM(R32)&lt;&gt;"",TRIM(G32)&lt;&gt;""),(G32*17.1)/R32,"")</f>
        <v/>
      </c>
      <c r="T32" s="80" t="str">
        <f t="shared" ca="1" si="10"/>
        <v/>
      </c>
      <c r="U32" s="80" t="str">
        <f t="shared" si="7"/>
        <v/>
      </c>
      <c r="V32" s="80"/>
      <c r="W32" s="80"/>
      <c r="X32" s="80"/>
      <c r="Y32" s="80"/>
      <c r="Z32" s="80"/>
      <c r="AA32" s="80" t="str">
        <f t="shared" si="8"/>
        <v/>
      </c>
      <c r="AB32" s="80"/>
      <c r="AC32" s="80"/>
      <c r="AD32" s="80"/>
      <c r="AE32" s="80">
        <v>1</v>
      </c>
      <c r="AF32" s="76">
        <f t="shared" si="9"/>
        <v>0</v>
      </c>
      <c r="AG32" s="74"/>
      <c r="AI32" s="81"/>
      <c r="AJ32" s="82"/>
      <c r="AK32" s="82"/>
      <c r="AL32" s="82"/>
      <c r="AM32" s="82"/>
      <c r="AN32" s="83"/>
    </row>
    <row r="33" spans="1:40" ht="17.5" customHeight="1" x14ac:dyDescent="0.3">
      <c r="A33" s="13"/>
      <c r="B33" s="73">
        <v>1</v>
      </c>
      <c r="C33" s="73">
        <v>1</v>
      </c>
      <c r="D33" s="74" t="s">
        <v>82</v>
      </c>
      <c r="E33" s="74" t="s">
        <v>85</v>
      </c>
      <c r="F33" s="74" t="s">
        <v>84</v>
      </c>
      <c r="G33" s="75"/>
      <c r="H33" s="76">
        <v>1711.8999999999999</v>
      </c>
      <c r="I33" s="76" t="str">
        <f t="shared" si="0"/>
        <v/>
      </c>
      <c r="J33" s="76">
        <v>1540.71</v>
      </c>
      <c r="K33" s="76" t="str">
        <f t="shared" si="1"/>
        <v/>
      </c>
      <c r="L33" s="77">
        <f t="shared" ca="1" si="2"/>
        <v>0</v>
      </c>
      <c r="M33" s="76" t="str">
        <f t="shared" si="3"/>
        <v/>
      </c>
      <c r="N33" s="76" t="str">
        <f t="shared" si="4"/>
        <v/>
      </c>
      <c r="O33" s="76">
        <v>1530</v>
      </c>
      <c r="P33" s="76" t="str">
        <f t="shared" si="5"/>
        <v/>
      </c>
      <c r="Q33" s="78">
        <v>0.39</v>
      </c>
      <c r="R33" s="79">
        <f t="shared" si="6"/>
        <v>16.988400000000002</v>
      </c>
      <c r="S33" s="79" t="str">
        <f>IF(AND(TRIM(R33)&lt;&gt;"",TRIM(G33)&lt;&gt;""),(G33*17.1)/R33,"")</f>
        <v/>
      </c>
      <c r="T33" s="80" t="str">
        <f t="shared" ca="1" si="10"/>
        <v/>
      </c>
      <c r="U33" s="80" t="str">
        <f t="shared" si="7"/>
        <v/>
      </c>
      <c r="V33" s="80"/>
      <c r="W33" s="80"/>
      <c r="X33" s="80"/>
      <c r="Y33" s="80"/>
      <c r="Z33" s="80"/>
      <c r="AA33" s="80" t="str">
        <f t="shared" si="8"/>
        <v/>
      </c>
      <c r="AB33" s="80"/>
      <c r="AC33" s="80"/>
      <c r="AD33" s="80"/>
      <c r="AE33" s="80">
        <v>1</v>
      </c>
      <c r="AF33" s="76">
        <f t="shared" si="9"/>
        <v>0</v>
      </c>
      <c r="AG33" s="74"/>
      <c r="AI33" s="84"/>
      <c r="AJ33" s="85"/>
      <c r="AK33" s="85"/>
      <c r="AL33" s="85"/>
      <c r="AM33" s="85"/>
      <c r="AN33" s="86"/>
    </row>
    <row r="34" spans="1:40" ht="17.5" customHeight="1" thickBot="1" x14ac:dyDescent="0.35">
      <c r="A34" s="13"/>
      <c r="B34" s="73">
        <v>1</v>
      </c>
      <c r="C34" s="73">
        <v>1</v>
      </c>
      <c r="D34" s="74" t="s">
        <v>87</v>
      </c>
      <c r="E34" s="74" t="s">
        <v>88</v>
      </c>
      <c r="F34" s="74" t="s">
        <v>52</v>
      </c>
      <c r="G34" s="75"/>
      <c r="H34" s="76">
        <v>475.8</v>
      </c>
      <c r="I34" s="76" t="str">
        <f t="shared" si="0"/>
        <v/>
      </c>
      <c r="J34" s="76">
        <v>475.8</v>
      </c>
      <c r="K34" s="76" t="str">
        <f t="shared" si="1"/>
        <v/>
      </c>
      <c r="L34" s="77">
        <f t="shared" ca="1" si="2"/>
        <v>0</v>
      </c>
      <c r="M34" s="76" t="str">
        <f t="shared" si="3"/>
        <v/>
      </c>
      <c r="N34" s="76" t="str">
        <f t="shared" si="4"/>
        <v/>
      </c>
      <c r="O34" s="76">
        <v>472.5</v>
      </c>
      <c r="P34" s="76" t="str">
        <f t="shared" si="5"/>
        <v/>
      </c>
      <c r="Q34" s="78">
        <v>4</v>
      </c>
      <c r="R34" s="79">
        <f t="shared" si="6"/>
        <v>174.24</v>
      </c>
      <c r="S34" s="79" t="str">
        <f>IF(AND(TRIM(R34)&lt;&gt;"",TRIM(G34)&lt;&gt;""),(G34*319.999849189052)/R34,"")</f>
        <v/>
      </c>
      <c r="T34" s="80" t="str">
        <f t="shared" ca="1" si="10"/>
        <v/>
      </c>
      <c r="U34" s="80" t="str">
        <f t="shared" si="7"/>
        <v/>
      </c>
      <c r="V34" s="80"/>
      <c r="W34" s="80"/>
      <c r="X34" s="80"/>
      <c r="Y34" s="80"/>
      <c r="Z34" s="80"/>
      <c r="AA34" s="80" t="str">
        <f t="shared" si="8"/>
        <v/>
      </c>
      <c r="AB34" s="80" t="str">
        <f>IF(G34 = "", "", IF(AND(AND(G34 &gt;= 6, G34 &lt;= 999999), AND(SUM(G37:G37) &gt;= 2, SUM(G37:G37) &lt; 999999)), 0.050602409638,""))</f>
        <v/>
      </c>
      <c r="AC34" s="80"/>
      <c r="AD34" s="80"/>
      <c r="AE34" s="80">
        <v>1</v>
      </c>
      <c r="AF34" s="76">
        <f t="shared" si="9"/>
        <v>0</v>
      </c>
      <c r="AG34" s="74" t="s">
        <v>89</v>
      </c>
      <c r="AI34" s="87"/>
      <c r="AJ34" s="88"/>
      <c r="AK34" s="88"/>
      <c r="AL34" s="88"/>
      <c r="AM34" s="88"/>
      <c r="AN34" s="89"/>
    </row>
    <row r="35" spans="1:40" ht="17.5" customHeight="1" thickTop="1" x14ac:dyDescent="0.3">
      <c r="A35" s="13"/>
      <c r="B35" s="73">
        <v>1</v>
      </c>
      <c r="C35" s="73">
        <v>1</v>
      </c>
      <c r="D35" s="74" t="s">
        <v>87</v>
      </c>
      <c r="E35" s="74" t="s">
        <v>90</v>
      </c>
      <c r="F35" s="74" t="s">
        <v>52</v>
      </c>
      <c r="G35" s="75"/>
      <c r="H35" s="76">
        <v>475.8</v>
      </c>
      <c r="I35" s="76" t="str">
        <f t="shared" si="0"/>
        <v/>
      </c>
      <c r="J35" s="76">
        <v>417.91</v>
      </c>
      <c r="K35" s="76" t="str">
        <f t="shared" si="1"/>
        <v/>
      </c>
      <c r="L35" s="77">
        <f t="shared" ca="1" si="2"/>
        <v>0</v>
      </c>
      <c r="M35" s="76" t="str">
        <f t="shared" si="3"/>
        <v/>
      </c>
      <c r="N35" s="76" t="str">
        <f t="shared" si="4"/>
        <v/>
      </c>
      <c r="O35" s="76">
        <v>415</v>
      </c>
      <c r="P35" s="76" t="str">
        <f t="shared" si="5"/>
        <v/>
      </c>
      <c r="Q35" s="78">
        <v>4</v>
      </c>
      <c r="R35" s="79">
        <f t="shared" si="6"/>
        <v>174.24</v>
      </c>
      <c r="S35" s="79" t="str">
        <f>IF(AND(TRIM(R35)&lt;&gt;"",TRIM(G35)&lt;&gt;""),(G35*319.999849189052)/R35,"")</f>
        <v/>
      </c>
      <c r="T35" s="80" t="str">
        <f t="shared" ca="1" si="10"/>
        <v/>
      </c>
      <c r="U35" s="80" t="str">
        <f t="shared" si="7"/>
        <v/>
      </c>
      <c r="V35" s="80"/>
      <c r="W35" s="80"/>
      <c r="X35" s="80"/>
      <c r="Y35" s="80"/>
      <c r="Z35" s="80"/>
      <c r="AA35" s="80" t="str">
        <f t="shared" si="8"/>
        <v/>
      </c>
      <c r="AB35" s="80" t="str">
        <f>IF(G35 = "", "", IF(AND(AND(G35 &gt;= 6, G35 &lt;= 999999), AND(SUM(G37:G37) &gt;= 2, SUM(G37:G37) &lt; 999999)), 0.050602409638,""))</f>
        <v/>
      </c>
      <c r="AC35" s="80"/>
      <c r="AD35" s="80"/>
      <c r="AE35" s="80">
        <v>1</v>
      </c>
      <c r="AF35" s="76">
        <f t="shared" si="9"/>
        <v>0</v>
      </c>
      <c r="AG35" s="74" t="s">
        <v>89</v>
      </c>
      <c r="AI35" s="90"/>
      <c r="AJ35" s="91"/>
      <c r="AK35" s="91"/>
      <c r="AL35" s="91"/>
      <c r="AM35" s="91"/>
      <c r="AN35" s="92"/>
    </row>
    <row r="36" spans="1:40" ht="17.5" customHeight="1" x14ac:dyDescent="0.3">
      <c r="A36" s="13"/>
      <c r="B36" s="73"/>
      <c r="C36" s="73">
        <v>1</v>
      </c>
      <c r="D36" s="74" t="s">
        <v>91</v>
      </c>
      <c r="E36" s="74" t="s">
        <v>92</v>
      </c>
      <c r="F36" s="74" t="s">
        <v>93</v>
      </c>
      <c r="G36" s="75"/>
      <c r="H36" s="76">
        <v>1262.77</v>
      </c>
      <c r="I36" s="76" t="str">
        <f t="shared" si="0"/>
        <v/>
      </c>
      <c r="J36" s="76">
        <v>1262.77</v>
      </c>
      <c r="K36" s="76" t="str">
        <f t="shared" si="1"/>
        <v/>
      </c>
      <c r="L36" s="77">
        <f t="shared" ca="1" si="2"/>
        <v>0</v>
      </c>
      <c r="M36" s="76" t="str">
        <f t="shared" si="3"/>
        <v/>
      </c>
      <c r="N36" s="76" t="str">
        <f t="shared" si="4"/>
        <v/>
      </c>
      <c r="O36" s="76">
        <v>1254</v>
      </c>
      <c r="P36" s="76" t="str">
        <f t="shared" si="5"/>
        <v/>
      </c>
      <c r="Q36" s="78">
        <v>0.17199999999999999</v>
      </c>
      <c r="R36" s="79">
        <f t="shared" si="6"/>
        <v>7.4923199999999994</v>
      </c>
      <c r="S36" s="79" t="str">
        <f>IF(AND(TRIM(R36)&lt;&gt;"",TRIM(G36)&lt;&gt;""),(G36*176)/R36,"")</f>
        <v/>
      </c>
      <c r="T36" s="80" t="str">
        <f t="shared" ca="1" si="10"/>
        <v/>
      </c>
      <c r="U36" s="80" t="str">
        <f t="shared" si="7"/>
        <v/>
      </c>
      <c r="V36" s="80"/>
      <c r="W36" s="80"/>
      <c r="X36" s="80"/>
      <c r="Y36" s="80"/>
      <c r="Z36" s="80"/>
      <c r="AA36" s="80" t="str">
        <f t="shared" si="8"/>
        <v/>
      </c>
      <c r="AB36" s="80"/>
      <c r="AC36" s="80"/>
      <c r="AD36" s="80"/>
      <c r="AE36" s="80">
        <v>1</v>
      </c>
      <c r="AF36" s="76">
        <f t="shared" si="9"/>
        <v>0</v>
      </c>
      <c r="AG36" s="74" t="s">
        <v>94</v>
      </c>
      <c r="AI36" s="93" t="s">
        <v>62</v>
      </c>
      <c r="AJ36" s="94" t="s">
        <v>21</v>
      </c>
      <c r="AK36" s="95" t="s">
        <v>22</v>
      </c>
      <c r="AL36" s="94" t="s">
        <v>63</v>
      </c>
      <c r="AM36" s="96" t="s">
        <v>31</v>
      </c>
      <c r="AN36" s="97" t="s">
        <v>64</v>
      </c>
    </row>
    <row r="37" spans="1:40" ht="17.5" customHeight="1" x14ac:dyDescent="0.3">
      <c r="A37" s="13"/>
      <c r="B37" s="73">
        <v>1</v>
      </c>
      <c r="C37" s="73">
        <v>1</v>
      </c>
      <c r="D37" s="74" t="s">
        <v>95</v>
      </c>
      <c r="E37" s="74" t="s">
        <v>96</v>
      </c>
      <c r="F37" s="74" t="s">
        <v>52</v>
      </c>
      <c r="G37" s="75"/>
      <c r="H37" s="76">
        <v>419.91899999999998</v>
      </c>
      <c r="I37" s="76" t="str">
        <f t="shared" si="0"/>
        <v/>
      </c>
      <c r="J37" s="76">
        <v>419.91899999999998</v>
      </c>
      <c r="K37" s="76" t="str">
        <f t="shared" si="1"/>
        <v/>
      </c>
      <c r="L37" s="77">
        <f t="shared" ca="1" si="2"/>
        <v>0</v>
      </c>
      <c r="M37" s="76" t="str">
        <f t="shared" si="3"/>
        <v/>
      </c>
      <c r="N37" s="76" t="str">
        <f t="shared" si="4"/>
        <v/>
      </c>
      <c r="O37" s="76">
        <v>417</v>
      </c>
      <c r="P37" s="76" t="str">
        <f t="shared" si="5"/>
        <v/>
      </c>
      <c r="Q37" s="78">
        <v>1</v>
      </c>
      <c r="R37" s="79">
        <f t="shared" si="6"/>
        <v>43.56</v>
      </c>
      <c r="S37" s="79" t="str">
        <f>IF(AND(TRIM(R37)&lt;&gt;"",TRIM(G37)&lt;&gt;""),(G37*319.999849189052)/R37,"")</f>
        <v/>
      </c>
      <c r="T37" s="80" t="str">
        <f t="shared" ca="1" si="10"/>
        <v/>
      </c>
      <c r="U37" s="80" t="str">
        <f t="shared" si="7"/>
        <v/>
      </c>
      <c r="V37" s="80"/>
      <c r="W37" s="80"/>
      <c r="X37" s="80"/>
      <c r="Y37" s="80"/>
      <c r="Z37" s="80"/>
      <c r="AA37" s="80" t="str">
        <f t="shared" si="8"/>
        <v/>
      </c>
      <c r="AB37" s="80" t="str">
        <f>IF(G37 = "", "", IF(AND(AND(G37 &gt;= 2, G37 &lt;= 999999), AND(SUM(G34:G35) &gt;= 6, SUM(G34:G35) &lt; 999999)), 0.05035971223,""))</f>
        <v/>
      </c>
      <c r="AC37" s="80"/>
      <c r="AD37" s="80"/>
      <c r="AE37" s="80">
        <v>1</v>
      </c>
      <c r="AF37" s="76">
        <f t="shared" si="9"/>
        <v>0</v>
      </c>
      <c r="AG37" s="74" t="s">
        <v>97</v>
      </c>
      <c r="AI37" s="73" t="s">
        <v>227</v>
      </c>
      <c r="AJ37" s="73" t="s">
        <v>60</v>
      </c>
      <c r="AK37" s="98">
        <v>16</v>
      </c>
      <c r="AL37" s="73" t="s">
        <v>69</v>
      </c>
      <c r="AM37" s="99">
        <v>0.22900000000000001</v>
      </c>
      <c r="AN37" s="100">
        <f>(AK37*10)/(AM37*43.56)</f>
        <v>16.039714332687733</v>
      </c>
    </row>
    <row r="38" spans="1:40" ht="17.5" customHeight="1" x14ac:dyDescent="0.3">
      <c r="A38" s="13"/>
      <c r="B38" s="73">
        <v>1</v>
      </c>
      <c r="C38" s="73">
        <v>1</v>
      </c>
      <c r="D38" s="74" t="s">
        <v>98</v>
      </c>
      <c r="E38" s="74" t="s">
        <v>99</v>
      </c>
      <c r="F38" s="74" t="s">
        <v>100</v>
      </c>
      <c r="G38" s="75"/>
      <c r="H38" s="76">
        <v>630.68409999999994</v>
      </c>
      <c r="I38" s="76" t="str">
        <f t="shared" si="0"/>
        <v/>
      </c>
      <c r="J38" s="76">
        <v>630.68409999999994</v>
      </c>
      <c r="K38" s="76" t="str">
        <f t="shared" si="1"/>
        <v/>
      </c>
      <c r="L38" s="77">
        <f t="shared" ca="1" si="2"/>
        <v>0</v>
      </c>
      <c r="M38" s="76" t="str">
        <f t="shared" si="3"/>
        <v/>
      </c>
      <c r="N38" s="76" t="str">
        <f t="shared" si="4"/>
        <v/>
      </c>
      <c r="O38" s="76">
        <v>626.29999999999995</v>
      </c>
      <c r="P38" s="76" t="str">
        <f t="shared" si="5"/>
        <v/>
      </c>
      <c r="Q38" s="78">
        <v>0.4</v>
      </c>
      <c r="R38" s="79">
        <f t="shared" si="6"/>
        <v>17.424000000000003</v>
      </c>
      <c r="S38" s="79" t="str">
        <f>IF(AND(TRIM(R38)&lt;&gt;"",TRIM(G38)&lt;&gt;""),(G38*87)/R38,"")</f>
        <v/>
      </c>
      <c r="T38" s="80" t="str">
        <f t="shared" ca="1" si="10"/>
        <v/>
      </c>
      <c r="U38" s="80" t="str">
        <f t="shared" si="7"/>
        <v/>
      </c>
      <c r="V38" s="80"/>
      <c r="W38" s="80"/>
      <c r="X38" s="80"/>
      <c r="Y38" s="80"/>
      <c r="Z38" s="80"/>
      <c r="AA38" s="80" t="str">
        <f t="shared" si="8"/>
        <v/>
      </c>
      <c r="AB38" s="80"/>
      <c r="AC38" s="80"/>
      <c r="AD38" s="80"/>
      <c r="AE38" s="80">
        <v>1</v>
      </c>
      <c r="AF38" s="76">
        <f t="shared" si="9"/>
        <v>0</v>
      </c>
      <c r="AG38" s="74"/>
      <c r="AI38" s="73" t="s">
        <v>228</v>
      </c>
      <c r="AJ38" s="73" t="s">
        <v>72</v>
      </c>
      <c r="AK38" s="98">
        <v>2</v>
      </c>
      <c r="AL38" s="73" t="s">
        <v>73</v>
      </c>
      <c r="AM38" s="99">
        <v>0.13800000000000001</v>
      </c>
      <c r="AN38" s="100">
        <f>(AK38*127.999939675621)/(AM38*43.56)</f>
        <v>42.586583781031983</v>
      </c>
    </row>
    <row r="39" spans="1:40" ht="17.5" customHeight="1" x14ac:dyDescent="0.3">
      <c r="A39" s="13"/>
      <c r="B39" s="73"/>
      <c r="C39" s="73">
        <v>1</v>
      </c>
      <c r="D39" s="74" t="s">
        <v>101</v>
      </c>
      <c r="E39" s="74" t="s">
        <v>102</v>
      </c>
      <c r="F39" s="74" t="s">
        <v>52</v>
      </c>
      <c r="G39" s="125"/>
      <c r="H39" s="76">
        <v>450.93459999999999</v>
      </c>
      <c r="I39" s="76" t="str">
        <f t="shared" si="0"/>
        <v/>
      </c>
      <c r="J39" s="76">
        <v>450.93459999999999</v>
      </c>
      <c r="K39" s="76" t="str">
        <f t="shared" si="1"/>
        <v/>
      </c>
      <c r="L39" s="77">
        <f t="shared" ca="1" si="2"/>
        <v>0</v>
      </c>
      <c r="M39" s="76" t="str">
        <f t="shared" si="3"/>
        <v/>
      </c>
      <c r="N39" s="76" t="str">
        <f t="shared" si="4"/>
        <v/>
      </c>
      <c r="O39" s="76">
        <v>447.8</v>
      </c>
      <c r="P39" s="76" t="str">
        <f t="shared" si="5"/>
        <v/>
      </c>
      <c r="Q39" s="78">
        <v>2.33</v>
      </c>
      <c r="R39" s="79">
        <f t="shared" si="6"/>
        <v>101.49480000000001</v>
      </c>
      <c r="S39" s="79" t="str">
        <f>IF(AND(TRIM(R39)&lt;&gt;"",TRIM(G39)&lt;&gt;""),(G39*319.999849189052)/R39,"")</f>
        <v/>
      </c>
      <c r="T39" s="80" t="str">
        <f t="shared" ca="1" si="10"/>
        <v/>
      </c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>
        <v>1</v>
      </c>
      <c r="AF39" s="76">
        <f t="shared" si="9"/>
        <v>0</v>
      </c>
      <c r="AG39" s="74"/>
      <c r="AI39" s="93" t="s">
        <v>77</v>
      </c>
      <c r="AJ39" s="94" t="s">
        <v>21</v>
      </c>
      <c r="AK39" s="95" t="s">
        <v>22</v>
      </c>
      <c r="AL39" s="94" t="s">
        <v>63</v>
      </c>
      <c r="AM39" s="96" t="s">
        <v>31</v>
      </c>
      <c r="AN39" s="97" t="s">
        <v>64</v>
      </c>
    </row>
    <row r="40" spans="1:40" ht="17.5" customHeight="1" x14ac:dyDescent="0.3">
      <c r="A40" s="13"/>
      <c r="B40" s="73"/>
      <c r="C40" s="73">
        <v>1</v>
      </c>
      <c r="D40" s="74" t="s">
        <v>101</v>
      </c>
      <c r="E40" s="74" t="s">
        <v>105</v>
      </c>
      <c r="F40" s="74" t="s">
        <v>52</v>
      </c>
      <c r="G40" s="125"/>
      <c r="H40" s="76">
        <v>450.93459999999999</v>
      </c>
      <c r="I40" s="76" t="str">
        <f t="shared" si="0"/>
        <v/>
      </c>
      <c r="J40" s="76">
        <v>370.07</v>
      </c>
      <c r="K40" s="76" t="str">
        <f t="shared" si="1"/>
        <v/>
      </c>
      <c r="L40" s="77">
        <f t="shared" ca="1" si="2"/>
        <v>0</v>
      </c>
      <c r="M40" s="76" t="str">
        <f t="shared" si="3"/>
        <v/>
      </c>
      <c r="N40" s="76" t="str">
        <f t="shared" si="4"/>
        <v/>
      </c>
      <c r="O40" s="76">
        <v>367.5</v>
      </c>
      <c r="P40" s="76" t="str">
        <f t="shared" si="5"/>
        <v/>
      </c>
      <c r="Q40" s="78">
        <v>2.33</v>
      </c>
      <c r="R40" s="79">
        <f t="shared" si="6"/>
        <v>101.49480000000001</v>
      </c>
      <c r="S40" s="79" t="str">
        <f>IF(AND(TRIM(R40)&lt;&gt;"",TRIM(G40)&lt;&gt;""),(G40*319.999849189052)/R40,"")</f>
        <v/>
      </c>
      <c r="T40" s="80" t="str">
        <f t="shared" ca="1" si="10"/>
        <v/>
      </c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>
        <v>1</v>
      </c>
      <c r="AF40" s="76">
        <f t="shared" si="9"/>
        <v>0</v>
      </c>
      <c r="AG40" s="74"/>
      <c r="AI40" s="101" t="s">
        <v>81</v>
      </c>
      <c r="AJ40" s="102"/>
      <c r="AK40" s="102"/>
      <c r="AL40" s="102"/>
      <c r="AM40" s="102"/>
      <c r="AN40" s="103"/>
    </row>
    <row r="41" spans="1:40" ht="17.5" customHeight="1" x14ac:dyDescent="0.3">
      <c r="A41" s="13"/>
      <c r="B41" s="73"/>
      <c r="C41" s="73">
        <v>1</v>
      </c>
      <c r="D41" s="74" t="s">
        <v>101</v>
      </c>
      <c r="E41" s="74" t="s">
        <v>108</v>
      </c>
      <c r="F41" s="74" t="s">
        <v>52</v>
      </c>
      <c r="G41" s="125"/>
      <c r="H41" s="76">
        <v>450.93459999999999</v>
      </c>
      <c r="I41" s="76" t="str">
        <f t="shared" si="0"/>
        <v/>
      </c>
      <c r="J41" s="76">
        <v>320.98</v>
      </c>
      <c r="K41" s="76" t="str">
        <f t="shared" si="1"/>
        <v/>
      </c>
      <c r="L41" s="77">
        <f t="shared" ca="1" si="2"/>
        <v>0</v>
      </c>
      <c r="M41" s="76" t="str">
        <f t="shared" si="3"/>
        <v/>
      </c>
      <c r="N41" s="76" t="str">
        <f t="shared" si="4"/>
        <v/>
      </c>
      <c r="O41" s="76">
        <v>318.75</v>
      </c>
      <c r="P41" s="76" t="str">
        <f t="shared" si="5"/>
        <v/>
      </c>
      <c r="Q41" s="78">
        <v>2.33</v>
      </c>
      <c r="R41" s="79">
        <f t="shared" si="6"/>
        <v>101.49480000000001</v>
      </c>
      <c r="S41" s="79" t="str">
        <f>IF(AND(TRIM(R41)&lt;&gt;"",TRIM(G41)&lt;&gt;""),(G41*319.999849189052)/R41,"")</f>
        <v/>
      </c>
      <c r="T41" s="80" t="str">
        <f t="shared" ca="1" si="10"/>
        <v/>
      </c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>
        <v>1</v>
      </c>
      <c r="AF41" s="76">
        <f t="shared" si="9"/>
        <v>0</v>
      </c>
      <c r="AG41" s="74"/>
      <c r="AI41" s="104"/>
      <c r="AJ41" s="104"/>
      <c r="AK41" s="104"/>
      <c r="AL41" s="104"/>
      <c r="AM41" s="104"/>
      <c r="AN41" s="104"/>
    </row>
    <row r="42" spans="1:40" ht="17.5" customHeight="1" x14ac:dyDescent="0.3">
      <c r="A42" s="13"/>
      <c r="B42" s="73">
        <v>1</v>
      </c>
      <c r="C42" s="73">
        <v>1</v>
      </c>
      <c r="D42" s="74" t="s">
        <v>109</v>
      </c>
      <c r="E42" s="74" t="s">
        <v>110</v>
      </c>
      <c r="F42" s="74" t="s">
        <v>111</v>
      </c>
      <c r="G42" s="75"/>
      <c r="H42" s="76">
        <v>176.22499999999999</v>
      </c>
      <c r="I42" s="76" t="str">
        <f t="shared" si="0"/>
        <v/>
      </c>
      <c r="J42" s="76">
        <v>176.22499999999999</v>
      </c>
      <c r="K42" s="76" t="str">
        <f t="shared" si="1"/>
        <v/>
      </c>
      <c r="L42" s="77">
        <f t="shared" ca="1" si="2"/>
        <v>0</v>
      </c>
      <c r="M42" s="76" t="str">
        <f t="shared" si="3"/>
        <v/>
      </c>
      <c r="N42" s="76" t="str">
        <f t="shared" si="4"/>
        <v/>
      </c>
      <c r="O42" s="76">
        <v>175</v>
      </c>
      <c r="P42" s="76" t="str">
        <f t="shared" si="5"/>
        <v/>
      </c>
      <c r="Q42" s="78">
        <v>4</v>
      </c>
      <c r="R42" s="79">
        <f t="shared" si="6"/>
        <v>174.24</v>
      </c>
      <c r="S42" s="79" t="str">
        <f>IF(AND(TRIM(R42)&lt;&gt;"",TRIM(G42)&lt;&gt;""),(G42*87.9999998763089)/R42,"")</f>
        <v/>
      </c>
      <c r="T42" s="80" t="str">
        <f t="shared" ca="1" si="10"/>
        <v/>
      </c>
      <c r="U42" s="80" t="str">
        <f t="shared" si="7"/>
        <v/>
      </c>
      <c r="V42" s="80"/>
      <c r="W42" s="80"/>
      <c r="X42" s="80"/>
      <c r="Y42" s="80"/>
      <c r="Z42" s="80"/>
      <c r="AA42" s="80" t="str">
        <f>IF(AND(C42 = 1, G42 &lt;&gt;""), $AA$83,"")</f>
        <v/>
      </c>
      <c r="AB42" s="80" t="str">
        <f>IF(G42 = "", "", IF(AND(AND(G42 &gt;= 24, G42 &lt;= 999999), AND(SUM(G22:G22) &gt;= 4, SUM(G22:G22) &lt; 999999)), 0.025,""))</f>
        <v/>
      </c>
      <c r="AC42" s="80"/>
      <c r="AD42" s="80"/>
      <c r="AE42" s="80">
        <v>1</v>
      </c>
      <c r="AF42" s="76">
        <f t="shared" si="9"/>
        <v>0</v>
      </c>
      <c r="AG42" s="74" t="s">
        <v>112</v>
      </c>
      <c r="AI42" s="105" t="s">
        <v>86</v>
      </c>
      <c r="AJ42" s="106"/>
      <c r="AK42" s="107"/>
      <c r="AL42" s="106"/>
      <c r="AM42" s="108"/>
      <c r="AN42" s="109"/>
    </row>
    <row r="43" spans="1:40" ht="17.5" customHeight="1" x14ac:dyDescent="0.3">
      <c r="A43" s="13"/>
      <c r="B43" s="73">
        <v>1</v>
      </c>
      <c r="C43" s="73">
        <v>1</v>
      </c>
      <c r="D43" s="74" t="s">
        <v>109</v>
      </c>
      <c r="E43" s="74" t="s">
        <v>113</v>
      </c>
      <c r="F43" s="74" t="s">
        <v>111</v>
      </c>
      <c r="G43" s="75"/>
      <c r="H43" s="76">
        <v>176.22499999999999</v>
      </c>
      <c r="I43" s="76" t="str">
        <f t="shared" si="0"/>
        <v/>
      </c>
      <c r="J43" s="76">
        <v>161.12</v>
      </c>
      <c r="K43" s="76" t="str">
        <f t="shared" si="1"/>
        <v/>
      </c>
      <c r="L43" s="77">
        <f t="shared" ca="1" si="2"/>
        <v>0</v>
      </c>
      <c r="M43" s="76" t="str">
        <f t="shared" si="3"/>
        <v/>
      </c>
      <c r="N43" s="76" t="str">
        <f t="shared" si="4"/>
        <v/>
      </c>
      <c r="O43" s="76">
        <v>160</v>
      </c>
      <c r="P43" s="76" t="str">
        <f t="shared" si="5"/>
        <v/>
      </c>
      <c r="Q43" s="78">
        <v>4</v>
      </c>
      <c r="R43" s="79">
        <f t="shared" si="6"/>
        <v>174.24</v>
      </c>
      <c r="S43" s="79" t="str">
        <f>IF(AND(TRIM(R43)&lt;&gt;"",TRIM(G43)&lt;&gt;""),(G43*87.9999998763089)/R43,"")</f>
        <v/>
      </c>
      <c r="T43" s="80" t="str">
        <f t="shared" ca="1" si="10"/>
        <v/>
      </c>
      <c r="U43" s="80" t="str">
        <f t="shared" si="7"/>
        <v/>
      </c>
      <c r="V43" s="80"/>
      <c r="W43" s="80"/>
      <c r="X43" s="80"/>
      <c r="Y43" s="80"/>
      <c r="Z43" s="80"/>
      <c r="AA43" s="80" t="str">
        <f>IF(AND(C43 = 1, G43 &lt;&gt;""), $AA$83,"")</f>
        <v/>
      </c>
      <c r="AB43" s="80" t="str">
        <f>IF(G43 = "", "", IF(AND(AND(G43 &gt;= 24, G43 &lt;= 999999), AND(SUM(G22:G22) &gt;= 4, SUM(G22:G22) &lt; 999999)), 0.025,""))</f>
        <v/>
      </c>
      <c r="AC43" s="80"/>
      <c r="AD43" s="80"/>
      <c r="AE43" s="80">
        <v>1</v>
      </c>
      <c r="AF43" s="76">
        <f t="shared" si="9"/>
        <v>0</v>
      </c>
      <c r="AG43" s="74" t="s">
        <v>112</v>
      </c>
      <c r="AI43" s="110"/>
      <c r="AJ43" s="111"/>
      <c r="AK43" s="112"/>
      <c r="AL43" s="111"/>
      <c r="AM43" s="113"/>
      <c r="AN43" s="114"/>
    </row>
    <row r="44" spans="1:40" ht="17.5" customHeight="1" x14ac:dyDescent="0.3">
      <c r="A44" s="13"/>
      <c r="B44" s="73">
        <v>1</v>
      </c>
      <c r="C44" s="73">
        <v>1</v>
      </c>
      <c r="D44" s="74" t="s">
        <v>114</v>
      </c>
      <c r="E44" s="74" t="s">
        <v>115</v>
      </c>
      <c r="F44" s="74" t="s">
        <v>116</v>
      </c>
      <c r="G44" s="125"/>
      <c r="H44" s="76">
        <v>1742.11</v>
      </c>
      <c r="I44" s="76" t="str">
        <f t="shared" si="0"/>
        <v/>
      </c>
      <c r="J44" s="76">
        <v>1742.11</v>
      </c>
      <c r="K44" s="76" t="str">
        <f t="shared" si="1"/>
        <v/>
      </c>
      <c r="L44" s="77">
        <f t="shared" ca="1" si="2"/>
        <v>0</v>
      </c>
      <c r="M44" s="76" t="str">
        <f t="shared" si="3"/>
        <v/>
      </c>
      <c r="N44" s="76" t="str">
        <f t="shared" si="4"/>
        <v/>
      </c>
      <c r="O44" s="76">
        <v>1730</v>
      </c>
      <c r="P44" s="76" t="str">
        <f t="shared" si="5"/>
        <v/>
      </c>
      <c r="Q44" s="78">
        <v>0.13800000000000001</v>
      </c>
      <c r="R44" s="79">
        <f t="shared" si="6"/>
        <v>6.0112800000000011</v>
      </c>
      <c r="S44" s="79" t="str">
        <f>IF(AND(TRIM(R44)&lt;&gt;"",TRIM(G44)&lt;&gt;""),(G44*127.999939675621)/R44,"")</f>
        <v/>
      </c>
      <c r="T44" s="80" t="str">
        <f t="shared" ca="1" si="10"/>
        <v/>
      </c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>
        <v>1</v>
      </c>
      <c r="AF44" s="76">
        <f t="shared" si="9"/>
        <v>0</v>
      </c>
      <c r="AG44" s="74"/>
      <c r="AI44" s="115"/>
      <c r="AJ44" s="116"/>
      <c r="AK44" s="117"/>
      <c r="AL44" s="116"/>
      <c r="AM44" s="118"/>
      <c r="AN44" s="119"/>
    </row>
    <row r="45" spans="1:40" ht="17.5" customHeight="1" thickBot="1" x14ac:dyDescent="0.35">
      <c r="A45" s="13"/>
      <c r="B45" s="73">
        <v>1</v>
      </c>
      <c r="C45" s="73">
        <v>1</v>
      </c>
      <c r="D45" s="74" t="s">
        <v>114</v>
      </c>
      <c r="E45" s="74" t="s">
        <v>117</v>
      </c>
      <c r="F45" s="74" t="s">
        <v>116</v>
      </c>
      <c r="G45" s="125"/>
      <c r="H45" s="76">
        <v>1742.11</v>
      </c>
      <c r="I45" s="76" t="str">
        <f t="shared" si="0"/>
        <v/>
      </c>
      <c r="J45" s="76">
        <v>1691.76</v>
      </c>
      <c r="K45" s="76" t="str">
        <f t="shared" si="1"/>
        <v/>
      </c>
      <c r="L45" s="77">
        <f t="shared" ca="1" si="2"/>
        <v>0</v>
      </c>
      <c r="M45" s="76" t="str">
        <f t="shared" si="3"/>
        <v/>
      </c>
      <c r="N45" s="76" t="str">
        <f t="shared" si="4"/>
        <v/>
      </c>
      <c r="O45" s="76">
        <v>1680</v>
      </c>
      <c r="P45" s="76" t="str">
        <f t="shared" si="5"/>
        <v/>
      </c>
      <c r="Q45" s="78">
        <v>0.13800000000000001</v>
      </c>
      <c r="R45" s="79">
        <f t="shared" si="6"/>
        <v>6.0112800000000011</v>
      </c>
      <c r="S45" s="79" t="str">
        <f>IF(AND(TRIM(R45)&lt;&gt;"",TRIM(G45)&lt;&gt;""),(G45*127.999939675621)/R45,"")</f>
        <v/>
      </c>
      <c r="T45" s="80" t="str">
        <f t="shared" ca="1" si="10"/>
        <v/>
      </c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>
        <v>1</v>
      </c>
      <c r="AF45" s="76">
        <f t="shared" si="9"/>
        <v>0</v>
      </c>
      <c r="AG45" s="74"/>
      <c r="AI45" s="115"/>
      <c r="AJ45" s="116"/>
      <c r="AK45" s="117"/>
      <c r="AL45" s="116"/>
      <c r="AM45" s="118"/>
      <c r="AN45" s="119"/>
    </row>
    <row r="46" spans="1:40" ht="17.5" customHeight="1" thickTop="1" x14ac:dyDescent="0.3">
      <c r="A46" s="13"/>
      <c r="B46" s="73">
        <v>1</v>
      </c>
      <c r="C46" s="73">
        <v>1</v>
      </c>
      <c r="D46" s="74" t="s">
        <v>114</v>
      </c>
      <c r="E46" s="74" t="s">
        <v>119</v>
      </c>
      <c r="F46" s="74" t="s">
        <v>116</v>
      </c>
      <c r="G46" s="125"/>
      <c r="H46" s="76">
        <v>1742.11</v>
      </c>
      <c r="I46" s="76" t="str">
        <f t="shared" si="0"/>
        <v/>
      </c>
      <c r="J46" s="76">
        <v>1495.4</v>
      </c>
      <c r="K46" s="76" t="str">
        <f t="shared" si="1"/>
        <v/>
      </c>
      <c r="L46" s="77">
        <f t="shared" ca="1" si="2"/>
        <v>0</v>
      </c>
      <c r="M46" s="76" t="str">
        <f t="shared" si="3"/>
        <v/>
      </c>
      <c r="N46" s="76" t="str">
        <f t="shared" si="4"/>
        <v/>
      </c>
      <c r="O46" s="76">
        <v>1485</v>
      </c>
      <c r="P46" s="76" t="str">
        <f t="shared" si="5"/>
        <v/>
      </c>
      <c r="Q46" s="78">
        <v>0.13800000000000001</v>
      </c>
      <c r="R46" s="79">
        <f t="shared" si="6"/>
        <v>6.0112800000000011</v>
      </c>
      <c r="S46" s="79" t="str">
        <f>IF(AND(TRIM(R46)&lt;&gt;"",TRIM(G46)&lt;&gt;""),(G46*127.999939675621)/R46,"")</f>
        <v/>
      </c>
      <c r="T46" s="80" t="str">
        <f t="shared" ca="1" si="10"/>
        <v/>
      </c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>
        <v>1</v>
      </c>
      <c r="AF46" s="76">
        <f t="shared" si="9"/>
        <v>0</v>
      </c>
      <c r="AG46" s="74"/>
      <c r="AI46" s="120"/>
      <c r="AJ46" s="121"/>
      <c r="AK46" s="122"/>
      <c r="AL46" s="121"/>
      <c r="AM46" s="123"/>
      <c r="AN46" s="124"/>
    </row>
    <row r="47" spans="1:40" ht="17.5" customHeight="1" x14ac:dyDescent="0.3">
      <c r="A47" s="13"/>
      <c r="B47" s="73">
        <v>1</v>
      </c>
      <c r="C47" s="73">
        <v>1</v>
      </c>
      <c r="D47" s="74" t="s">
        <v>114</v>
      </c>
      <c r="E47" s="74" t="s">
        <v>120</v>
      </c>
      <c r="F47" s="74" t="s">
        <v>116</v>
      </c>
      <c r="G47" s="125"/>
      <c r="H47" s="76">
        <v>1742.11</v>
      </c>
      <c r="I47" s="76" t="str">
        <f t="shared" si="0"/>
        <v/>
      </c>
      <c r="J47" s="76">
        <v>1445.05</v>
      </c>
      <c r="K47" s="76" t="str">
        <f t="shared" si="1"/>
        <v/>
      </c>
      <c r="L47" s="77">
        <f t="shared" ca="1" si="2"/>
        <v>0</v>
      </c>
      <c r="M47" s="76" t="str">
        <f t="shared" si="3"/>
        <v/>
      </c>
      <c r="N47" s="76" t="str">
        <f t="shared" si="4"/>
        <v/>
      </c>
      <c r="O47" s="76">
        <v>1435</v>
      </c>
      <c r="P47" s="76" t="str">
        <f t="shared" si="5"/>
        <v/>
      </c>
      <c r="Q47" s="78">
        <v>0.13800000000000001</v>
      </c>
      <c r="R47" s="79">
        <f t="shared" si="6"/>
        <v>6.0112800000000011</v>
      </c>
      <c r="S47" s="79" t="str">
        <f>IF(AND(TRIM(R47)&lt;&gt;"",TRIM(G47)&lt;&gt;""),(G47*127.999939675621)/R47,"")</f>
        <v/>
      </c>
      <c r="T47" s="80" t="str">
        <f t="shared" ca="1" si="10"/>
        <v/>
      </c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>
        <v>1</v>
      </c>
      <c r="AF47" s="76">
        <f t="shared" si="9"/>
        <v>0</v>
      </c>
      <c r="AG47" s="74"/>
      <c r="AI47" s="93" t="s">
        <v>62</v>
      </c>
      <c r="AJ47" s="94" t="s">
        <v>21</v>
      </c>
      <c r="AK47" s="95" t="s">
        <v>22</v>
      </c>
      <c r="AL47" s="94" t="s">
        <v>63</v>
      </c>
      <c r="AM47" s="96" t="s">
        <v>31</v>
      </c>
      <c r="AN47" s="97" t="s">
        <v>64</v>
      </c>
    </row>
    <row r="48" spans="1:40" ht="17.5" customHeight="1" x14ac:dyDescent="0.3">
      <c r="A48" s="13"/>
      <c r="B48" s="73"/>
      <c r="C48" s="73"/>
      <c r="D48" s="74" t="s">
        <v>121</v>
      </c>
      <c r="E48" s="74" t="s">
        <v>122</v>
      </c>
      <c r="F48" s="74" t="s">
        <v>123</v>
      </c>
      <c r="G48" s="75"/>
      <c r="H48" s="76">
        <v>256.02974999999998</v>
      </c>
      <c r="I48" s="76" t="str">
        <f t="shared" si="0"/>
        <v/>
      </c>
      <c r="J48" s="76">
        <v>256.02974999999998</v>
      </c>
      <c r="K48" s="76" t="str">
        <f t="shared" si="1"/>
        <v/>
      </c>
      <c r="L48" s="77">
        <f t="shared" ca="1" si="2"/>
        <v>0</v>
      </c>
      <c r="M48" s="76" t="str">
        <f t="shared" si="3"/>
        <v/>
      </c>
      <c r="N48" s="76" t="str">
        <f t="shared" si="4"/>
        <v/>
      </c>
      <c r="O48" s="76">
        <v>254.25</v>
      </c>
      <c r="P48" s="76" t="str">
        <f t="shared" si="5"/>
        <v/>
      </c>
      <c r="Q48" s="78">
        <v>0.15</v>
      </c>
      <c r="R48" s="79">
        <f t="shared" si="6"/>
        <v>6.5339999999999998</v>
      </c>
      <c r="S48" s="79" t="str">
        <f>IF(AND(TRIM(R48)&lt;&gt;"",TRIM(G48)&lt;&gt;""),(G48*18)/R48,"")</f>
        <v/>
      </c>
      <c r="T48" s="80" t="str">
        <f t="shared" ca="1" si="10"/>
        <v/>
      </c>
      <c r="U48" s="80" t="str">
        <f t="shared" si="7"/>
        <v/>
      </c>
      <c r="V48" s="80"/>
      <c r="W48" s="80"/>
      <c r="X48" s="80"/>
      <c r="Y48" s="80"/>
      <c r="Z48" s="80"/>
      <c r="AA48" s="80" t="str">
        <f t="shared" ref="AA48:AA53" si="12">IF(AND(C48 = 1, G48 &lt;&gt;""), $AA$83,"")</f>
        <v/>
      </c>
      <c r="AB48" s="80"/>
      <c r="AC48" s="80"/>
      <c r="AD48" s="80"/>
      <c r="AE48" s="80">
        <v>1</v>
      </c>
      <c r="AF48" s="76">
        <f t="shared" si="9"/>
        <v>0</v>
      </c>
      <c r="AG48" s="74"/>
      <c r="AI48" s="126" t="s">
        <v>103</v>
      </c>
      <c r="AJ48" s="73" t="s">
        <v>52</v>
      </c>
      <c r="AK48" s="98">
        <v>16</v>
      </c>
      <c r="AL48" s="73" t="s">
        <v>104</v>
      </c>
      <c r="AM48" s="99">
        <v>4</v>
      </c>
      <c r="AN48" s="100">
        <f>(AK48*319.999849189052)/(AM48*43.56)</f>
        <v>29.384742808912026</v>
      </c>
    </row>
    <row r="49" spans="1:40" ht="17.5" customHeight="1" x14ac:dyDescent="0.3">
      <c r="A49" s="13"/>
      <c r="B49" s="73">
        <v>1</v>
      </c>
      <c r="C49" s="73">
        <v>1</v>
      </c>
      <c r="D49" s="74" t="s">
        <v>124</v>
      </c>
      <c r="E49" s="74" t="s">
        <v>125</v>
      </c>
      <c r="F49" s="74" t="s">
        <v>126</v>
      </c>
      <c r="G49" s="75"/>
      <c r="H49" s="76">
        <v>101.7</v>
      </c>
      <c r="I49" s="76" t="str">
        <f t="shared" si="0"/>
        <v/>
      </c>
      <c r="J49" s="76">
        <v>101.7</v>
      </c>
      <c r="K49" s="76" t="str">
        <f t="shared" si="1"/>
        <v/>
      </c>
      <c r="L49" s="77">
        <f t="shared" ca="1" si="2"/>
        <v>0</v>
      </c>
      <c r="M49" s="76" t="str">
        <f t="shared" si="3"/>
        <v/>
      </c>
      <c r="N49" s="76" t="str">
        <f t="shared" si="4"/>
        <v/>
      </c>
      <c r="O49" s="76">
        <v>101</v>
      </c>
      <c r="P49" s="76" t="str">
        <f t="shared" si="5"/>
        <v/>
      </c>
      <c r="Q49" s="78">
        <v>3.45</v>
      </c>
      <c r="R49" s="79">
        <f t="shared" si="6"/>
        <v>150.28200000000001</v>
      </c>
      <c r="S49" s="79" t="str">
        <f>IF(AND(TRIM(R49)&lt;&gt;"",TRIM(G49)&lt;&gt;""),(G49*50)/R49,"")</f>
        <v/>
      </c>
      <c r="T49" s="80" t="str">
        <f t="shared" ca="1" si="10"/>
        <v/>
      </c>
      <c r="U49" s="80" t="str">
        <f t="shared" si="7"/>
        <v/>
      </c>
      <c r="V49" s="80"/>
      <c r="W49" s="80"/>
      <c r="X49" s="80"/>
      <c r="Y49" s="80"/>
      <c r="Z49" s="80"/>
      <c r="AA49" s="80" t="str">
        <f t="shared" si="12"/>
        <v/>
      </c>
      <c r="AB49" s="80"/>
      <c r="AC49" s="80"/>
      <c r="AD49" s="80"/>
      <c r="AE49" s="80">
        <v>1</v>
      </c>
      <c r="AF49" s="76">
        <f t="shared" si="9"/>
        <v>0</v>
      </c>
      <c r="AG49" s="74" t="s">
        <v>127</v>
      </c>
      <c r="AI49" s="126" t="s">
        <v>106</v>
      </c>
      <c r="AJ49" s="73" t="s">
        <v>52</v>
      </c>
      <c r="AK49" s="98">
        <v>6</v>
      </c>
      <c r="AL49" s="73" t="s">
        <v>107</v>
      </c>
      <c r="AM49" s="99">
        <v>1.5</v>
      </c>
      <c r="AN49" s="100">
        <f>(AK49*319.999849189052)/(AM49*43.56)</f>
        <v>29.38474280891203</v>
      </c>
    </row>
    <row r="50" spans="1:40" ht="17.5" customHeight="1" x14ac:dyDescent="0.3">
      <c r="A50" s="13"/>
      <c r="B50" s="73"/>
      <c r="C50" s="73">
        <v>1</v>
      </c>
      <c r="D50" s="74" t="s">
        <v>128</v>
      </c>
      <c r="E50" s="74" t="s">
        <v>129</v>
      </c>
      <c r="F50" s="74" t="s">
        <v>52</v>
      </c>
      <c r="G50" s="75"/>
      <c r="H50" s="76">
        <v>855.94999999999993</v>
      </c>
      <c r="I50" s="76" t="str">
        <f t="shared" si="0"/>
        <v/>
      </c>
      <c r="J50" s="76">
        <v>855.94999999999993</v>
      </c>
      <c r="K50" s="76" t="str">
        <f t="shared" si="1"/>
        <v/>
      </c>
      <c r="L50" s="77">
        <f t="shared" ca="1" si="2"/>
        <v>0</v>
      </c>
      <c r="M50" s="76" t="str">
        <f t="shared" si="3"/>
        <v/>
      </c>
      <c r="N50" s="76" t="str">
        <f t="shared" si="4"/>
        <v/>
      </c>
      <c r="O50" s="76">
        <v>850</v>
      </c>
      <c r="P50" s="76" t="str">
        <f t="shared" si="5"/>
        <v/>
      </c>
      <c r="Q50" s="78">
        <v>2</v>
      </c>
      <c r="R50" s="79">
        <f t="shared" si="6"/>
        <v>87.12</v>
      </c>
      <c r="S50" s="79" t="str">
        <f>IF(AND(TRIM(R50)&lt;&gt;"",TRIM(G50)&lt;&gt;""),(G50*319.999849189052)/R50,"")</f>
        <v/>
      </c>
      <c r="T50" s="80" t="str">
        <f t="shared" ca="1" si="10"/>
        <v/>
      </c>
      <c r="U50" s="80" t="str">
        <f t="shared" si="7"/>
        <v/>
      </c>
      <c r="V50" s="80"/>
      <c r="W50" s="80"/>
      <c r="X50" s="80"/>
      <c r="Y50" s="80"/>
      <c r="Z50" s="80"/>
      <c r="AA50" s="80" t="str">
        <f t="shared" si="12"/>
        <v/>
      </c>
      <c r="AB50" s="80"/>
      <c r="AC50" s="80"/>
      <c r="AD50" s="80"/>
      <c r="AE50" s="80">
        <v>1</v>
      </c>
      <c r="AF50" s="76">
        <f t="shared" si="9"/>
        <v>0</v>
      </c>
      <c r="AG50" s="74" t="s">
        <v>130</v>
      </c>
      <c r="AI50" s="93" t="s">
        <v>77</v>
      </c>
      <c r="AJ50" s="94" t="s">
        <v>21</v>
      </c>
      <c r="AK50" s="95" t="s">
        <v>22</v>
      </c>
      <c r="AL50" s="94" t="s">
        <v>63</v>
      </c>
      <c r="AM50" s="96" t="s">
        <v>31</v>
      </c>
      <c r="AN50" s="97" t="s">
        <v>64</v>
      </c>
    </row>
    <row r="51" spans="1:40" ht="17.5" customHeight="1" x14ac:dyDescent="0.3">
      <c r="A51" s="13"/>
      <c r="B51" s="73"/>
      <c r="C51" s="73">
        <v>1</v>
      </c>
      <c r="D51" s="74" t="s">
        <v>128</v>
      </c>
      <c r="E51" s="74" t="s">
        <v>131</v>
      </c>
      <c r="F51" s="74" t="s">
        <v>52</v>
      </c>
      <c r="G51" s="75"/>
      <c r="H51" s="76">
        <v>855.94999999999993</v>
      </c>
      <c r="I51" s="76" t="str">
        <f t="shared" si="0"/>
        <v/>
      </c>
      <c r="J51" s="76">
        <v>780.42</v>
      </c>
      <c r="K51" s="76" t="str">
        <f t="shared" si="1"/>
        <v/>
      </c>
      <c r="L51" s="77">
        <f t="shared" ca="1" si="2"/>
        <v>0</v>
      </c>
      <c r="M51" s="76" t="str">
        <f t="shared" si="3"/>
        <v/>
      </c>
      <c r="N51" s="76" t="str">
        <f t="shared" si="4"/>
        <v/>
      </c>
      <c r="O51" s="76">
        <v>775</v>
      </c>
      <c r="P51" s="76" t="str">
        <f t="shared" si="5"/>
        <v/>
      </c>
      <c r="Q51" s="78">
        <v>2</v>
      </c>
      <c r="R51" s="79">
        <f t="shared" si="6"/>
        <v>87.12</v>
      </c>
      <c r="S51" s="79" t="str">
        <f>IF(AND(TRIM(R51)&lt;&gt;"",TRIM(G51)&lt;&gt;""),(G51*319.999849189052)/R51,"")</f>
        <v/>
      </c>
      <c r="T51" s="80" t="str">
        <f t="shared" ca="1" si="10"/>
        <v/>
      </c>
      <c r="U51" s="80" t="str">
        <f t="shared" si="7"/>
        <v/>
      </c>
      <c r="V51" s="80"/>
      <c r="W51" s="80"/>
      <c r="X51" s="80"/>
      <c r="Y51" s="80"/>
      <c r="Z51" s="80"/>
      <c r="AA51" s="80" t="str">
        <f t="shared" si="12"/>
        <v/>
      </c>
      <c r="AB51" s="80" t="str">
        <f>IF(G51 = "", "", IF(AND(AND(G51 &gt;= 6, G51 &lt;= 999999), AND(SUM(G30) &gt;= 16, SUM(G30) &lt; 999999)), 0.0258064516,""))</f>
        <v/>
      </c>
      <c r="AC51" s="80"/>
      <c r="AD51" s="80"/>
      <c r="AE51" s="80">
        <v>1</v>
      </c>
      <c r="AF51" s="76">
        <f t="shared" si="9"/>
        <v>0</v>
      </c>
      <c r="AG51" s="74" t="s">
        <v>130</v>
      </c>
      <c r="AI51" s="101" t="s">
        <v>81</v>
      </c>
      <c r="AJ51" s="102"/>
      <c r="AK51" s="102"/>
      <c r="AL51" s="102"/>
      <c r="AM51" s="102"/>
      <c r="AN51" s="103"/>
    </row>
    <row r="52" spans="1:40" ht="17.5" customHeight="1" x14ac:dyDescent="0.3">
      <c r="A52" s="13"/>
      <c r="B52" s="73">
        <v>1</v>
      </c>
      <c r="C52" s="73">
        <v>1</v>
      </c>
      <c r="D52" s="74" t="s">
        <v>229</v>
      </c>
      <c r="E52" s="74" t="s">
        <v>230</v>
      </c>
      <c r="F52" s="74" t="s">
        <v>72</v>
      </c>
      <c r="G52" s="75"/>
      <c r="H52" s="76">
        <v>402.79999999999995</v>
      </c>
      <c r="I52" s="76" t="str">
        <f t="shared" si="0"/>
        <v/>
      </c>
      <c r="J52" s="76">
        <v>402.79999999999995</v>
      </c>
      <c r="K52" s="76" t="str">
        <f t="shared" si="1"/>
        <v/>
      </c>
      <c r="L52" s="77">
        <f t="shared" ca="1" si="2"/>
        <v>0</v>
      </c>
      <c r="M52" s="76" t="str">
        <f t="shared" si="3"/>
        <v/>
      </c>
      <c r="N52" s="76" t="str">
        <f t="shared" si="4"/>
        <v/>
      </c>
      <c r="O52" s="76">
        <v>400</v>
      </c>
      <c r="P52" s="76" t="str">
        <f t="shared" si="5"/>
        <v/>
      </c>
      <c r="Q52" s="78">
        <v>0.73499999999999999</v>
      </c>
      <c r="R52" s="79">
        <f t="shared" si="6"/>
        <v>32.016600000000004</v>
      </c>
      <c r="S52" s="79" t="str">
        <f>IF(AND(TRIM(R52)&lt;&gt;"",TRIM(G52)&lt;&gt;""),(G52*127.999939675621)/R52,"")</f>
        <v/>
      </c>
      <c r="T52" s="80" t="str">
        <f t="shared" ca="1" si="10"/>
        <v/>
      </c>
      <c r="U52" s="80" t="str">
        <f t="shared" si="7"/>
        <v/>
      </c>
      <c r="V52" s="80"/>
      <c r="W52" s="80"/>
      <c r="X52" s="80"/>
      <c r="Y52" s="80"/>
      <c r="Z52" s="80"/>
      <c r="AA52" s="80" t="str">
        <f t="shared" si="12"/>
        <v/>
      </c>
      <c r="AB52" s="80" t="str">
        <f>IF(G52 = "", "", IF(AND(AND(G52 &gt;= 4, G52 &lt;= 999999), AND(SUM(G29:G29) &gt;= 1, SUM(G29:G29) &lt; 999999)), 0.05,""))</f>
        <v/>
      </c>
      <c r="AC52" s="80"/>
      <c r="AD52" s="80"/>
      <c r="AE52" s="80">
        <v>1</v>
      </c>
      <c r="AF52" s="76">
        <f t="shared" si="9"/>
        <v>0</v>
      </c>
      <c r="AG52" s="74"/>
      <c r="AI52" s="104"/>
      <c r="AJ52" s="104"/>
      <c r="AK52" s="104"/>
      <c r="AL52" s="104"/>
      <c r="AM52" s="104"/>
      <c r="AN52" s="104"/>
    </row>
    <row r="53" spans="1:40" ht="17.5" customHeight="1" x14ac:dyDescent="0.3">
      <c r="A53" s="13"/>
      <c r="B53" s="73">
        <v>1</v>
      </c>
      <c r="C53" s="73">
        <v>1</v>
      </c>
      <c r="D53" s="74" t="s">
        <v>133</v>
      </c>
      <c r="E53" s="74" t="s">
        <v>134</v>
      </c>
      <c r="F53" s="74" t="s">
        <v>135</v>
      </c>
      <c r="G53" s="75"/>
      <c r="H53" s="76">
        <v>375.20819999999998</v>
      </c>
      <c r="I53" s="76" t="str">
        <f t="shared" si="0"/>
        <v/>
      </c>
      <c r="J53" s="76">
        <v>375.20819999999998</v>
      </c>
      <c r="K53" s="76" t="str">
        <f t="shared" si="1"/>
        <v/>
      </c>
      <c r="L53" s="77">
        <f t="shared" ca="1" si="2"/>
        <v>0</v>
      </c>
      <c r="M53" s="76" t="str">
        <f t="shared" si="3"/>
        <v/>
      </c>
      <c r="N53" s="76" t="str">
        <f t="shared" si="4"/>
        <v/>
      </c>
      <c r="O53" s="76">
        <v>372.6</v>
      </c>
      <c r="P53" s="76" t="str">
        <f t="shared" si="5"/>
        <v/>
      </c>
      <c r="Q53" s="78">
        <v>2.3E-2</v>
      </c>
      <c r="R53" s="79">
        <f t="shared" si="6"/>
        <v>1.0018800000000001</v>
      </c>
      <c r="S53" s="79" t="str">
        <f>IF(AND(TRIM(R53)&lt;&gt;"",TRIM(G53)&lt;&gt;""),(G53*6)/R53,"")</f>
        <v/>
      </c>
      <c r="T53" s="80" t="str">
        <f t="shared" ca="1" si="10"/>
        <v/>
      </c>
      <c r="U53" s="80" t="str">
        <f t="shared" si="7"/>
        <v/>
      </c>
      <c r="V53" s="80"/>
      <c r="W53" s="80"/>
      <c r="X53" s="80"/>
      <c r="Y53" s="80"/>
      <c r="Z53" s="80"/>
      <c r="AA53" s="80" t="str">
        <f t="shared" si="12"/>
        <v/>
      </c>
      <c r="AB53" s="80" t="str">
        <f>IF(G53 = "", "", IF(AND(AND(G53 &gt;= 6, G53 &lt;= 999999), AND(SUM(G44:G47) &gt;= 2, SUM(G44:G47) &lt; 999999)), 0.120772946859,""))</f>
        <v/>
      </c>
      <c r="AC53" s="80"/>
      <c r="AD53" s="80"/>
      <c r="AE53" s="80">
        <v>1</v>
      </c>
      <c r="AF53" s="76">
        <f t="shared" si="9"/>
        <v>0</v>
      </c>
      <c r="AG53" s="74"/>
      <c r="AI53" s="104"/>
      <c r="AJ53" s="104"/>
      <c r="AK53" s="104"/>
      <c r="AL53" s="104"/>
      <c r="AM53" s="104"/>
      <c r="AN53" s="104"/>
    </row>
    <row r="54" spans="1:40" ht="14.5" customHeight="1" x14ac:dyDescent="0.3">
      <c r="A54" s="13"/>
      <c r="B54" s="183" t="s">
        <v>138</v>
      </c>
      <c r="C54" s="183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4"/>
      <c r="AI54" s="105" t="s">
        <v>231</v>
      </c>
      <c r="AJ54" s="106"/>
      <c r="AK54" s="107"/>
      <c r="AL54" s="106"/>
      <c r="AM54" s="108"/>
      <c r="AN54" s="109"/>
    </row>
    <row r="55" spans="1:40" ht="13" customHeight="1" x14ac:dyDescent="0.3">
      <c r="B55" s="55" t="s">
        <v>17</v>
      </c>
      <c r="C55" s="55" t="s">
        <v>18</v>
      </c>
      <c r="D55" s="56" t="s">
        <v>19</v>
      </c>
      <c r="E55" s="56" t="s">
        <v>20</v>
      </c>
      <c r="F55" s="56" t="s">
        <v>21</v>
      </c>
      <c r="G55" s="57" t="s">
        <v>22</v>
      </c>
      <c r="H55" s="58" t="s">
        <v>23</v>
      </c>
      <c r="I55" s="58" t="s">
        <v>24</v>
      </c>
      <c r="J55" s="59" t="s">
        <v>25</v>
      </c>
      <c r="K55" s="59" t="s">
        <v>26</v>
      </c>
      <c r="L55" s="60" t="s">
        <v>6</v>
      </c>
      <c r="M55" s="58" t="s">
        <v>27</v>
      </c>
      <c r="N55" s="59" t="s">
        <v>28</v>
      </c>
      <c r="O55" s="58" t="s">
        <v>29</v>
      </c>
      <c r="P55" s="58" t="s">
        <v>30</v>
      </c>
      <c r="Q55" s="61" t="s">
        <v>31</v>
      </c>
      <c r="R55" s="62" t="s">
        <v>32</v>
      </c>
      <c r="S55" s="62" t="s">
        <v>33</v>
      </c>
      <c r="T55" s="61" t="s">
        <v>34</v>
      </c>
      <c r="U55" s="61" t="s">
        <v>4</v>
      </c>
      <c r="V55" s="61" t="s">
        <v>35</v>
      </c>
      <c r="W55" s="61" t="s">
        <v>36</v>
      </c>
      <c r="X55" s="61" t="s">
        <v>37</v>
      </c>
      <c r="Y55" s="61" t="s">
        <v>38</v>
      </c>
      <c r="Z55" s="61" t="s">
        <v>39</v>
      </c>
      <c r="AA55" s="61" t="s">
        <v>3</v>
      </c>
      <c r="AB55" s="61" t="s">
        <v>40</v>
      </c>
      <c r="AC55" s="61" t="s">
        <v>41</v>
      </c>
      <c r="AD55" s="61" t="s">
        <v>42</v>
      </c>
      <c r="AE55" s="61" t="s">
        <v>43</v>
      </c>
      <c r="AF55" s="58" t="s">
        <v>44</v>
      </c>
      <c r="AG55" s="55" t="s">
        <v>45</v>
      </c>
      <c r="AI55" s="110"/>
      <c r="AJ55" s="111"/>
      <c r="AK55" s="112"/>
      <c r="AL55" s="111"/>
      <c r="AM55" s="113"/>
      <c r="AN55" s="114"/>
    </row>
    <row r="56" spans="1:40" x14ac:dyDescent="0.3">
      <c r="B56" s="63"/>
      <c r="C56" s="63"/>
      <c r="D56" s="63"/>
      <c r="E56" s="63"/>
      <c r="F56" s="63"/>
      <c r="G56" s="64"/>
      <c r="H56" s="65"/>
      <c r="I56" s="65"/>
      <c r="J56" s="134"/>
      <c r="K56" s="65"/>
      <c r="L56" s="66"/>
      <c r="M56" s="65"/>
      <c r="N56" s="65"/>
      <c r="O56" s="65"/>
      <c r="P56" s="65"/>
      <c r="Q56" s="67"/>
      <c r="R56" s="68"/>
      <c r="S56" s="68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5"/>
      <c r="AG56" s="63"/>
      <c r="AI56" s="115"/>
      <c r="AJ56" s="116"/>
      <c r="AK56" s="117"/>
      <c r="AL56" s="116"/>
      <c r="AM56" s="118"/>
      <c r="AN56" s="119"/>
    </row>
    <row r="57" spans="1:40" ht="13.5" thickBot="1" x14ac:dyDescent="0.35">
      <c r="B57" s="63"/>
      <c r="C57" s="63"/>
      <c r="D57" s="135"/>
      <c r="E57" s="135"/>
      <c r="F57" s="135"/>
      <c r="G57" s="136"/>
      <c r="H57" s="137"/>
      <c r="I57" s="137"/>
      <c r="J57" s="138"/>
      <c r="K57" s="137"/>
      <c r="L57" s="139"/>
      <c r="M57" s="137"/>
      <c r="N57" s="137"/>
      <c r="O57" s="137"/>
      <c r="P57" s="137"/>
      <c r="Q57" s="140"/>
      <c r="R57" s="141"/>
      <c r="S57" s="141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37"/>
      <c r="AG57" s="135"/>
      <c r="AI57" s="115"/>
      <c r="AJ57" s="116"/>
      <c r="AK57" s="117"/>
      <c r="AL57" s="116"/>
      <c r="AM57" s="118"/>
      <c r="AN57" s="119"/>
    </row>
    <row r="58" spans="1:40" ht="16.5" customHeight="1" thickTop="1" x14ac:dyDescent="0.3">
      <c r="B58" s="73"/>
      <c r="C58" s="73">
        <v>1</v>
      </c>
      <c r="D58" s="74" t="s">
        <v>139</v>
      </c>
      <c r="E58" s="74" t="s">
        <v>140</v>
      </c>
      <c r="F58" s="74" t="s">
        <v>52</v>
      </c>
      <c r="G58" s="75"/>
      <c r="H58" s="76" t="str">
        <f>IF(G58*J58= 0,"",G58*J58)</f>
        <v/>
      </c>
      <c r="I58" s="76" t="str">
        <f t="shared" ref="I58:I82" si="13">IF(G58*J58= 0,"",G58*J58)</f>
        <v/>
      </c>
      <c r="J58" s="185"/>
      <c r="K58" s="76" t="str">
        <f t="shared" ref="K58:K81" si="14">IF(G58*J58= 0,"",G58*J58)</f>
        <v/>
      </c>
      <c r="L58" s="77">
        <f t="shared" ref="L58:L81" ca="1" si="15">IF(AND(AE58 &lt;&gt; "", SUM(T58:AD58) &lt;= AE58), SUM(T58:AD58), AE58)</f>
        <v>0</v>
      </c>
      <c r="M58" s="76" t="str">
        <f>IF(OR(G58 ="",J58=""),"",G58*L58*O58)</f>
        <v/>
      </c>
      <c r="N58" s="76" t="str">
        <f t="shared" ref="N58:N81" si="16">IF(AND(AND(G58&lt;&gt;"",G58&gt;0), AND(J58&lt;&gt;"",J58&gt;0)),((K58/G58)-(M58/G58)),"")</f>
        <v/>
      </c>
      <c r="O58" s="76">
        <v>426.25</v>
      </c>
      <c r="P58" s="76" t="str">
        <f t="shared" ref="P58:P81" si="17">IF(AND(AND(G58&lt;&gt;"",G58&gt;0),AND(J58&lt;&gt;"",J58&gt;0)), G58*N58,"")</f>
        <v/>
      </c>
      <c r="Q58" s="78">
        <v>4</v>
      </c>
      <c r="R58" s="79">
        <f t="shared" ref="R58:R81" si="18">Q58*43.56</f>
        <v>174.24</v>
      </c>
      <c r="S58" s="79" t="str">
        <f>IF(AND(TRIM(R58)&lt;&gt;"",TRIM(G58)&lt;&gt;""),(G58*319.999849189052)/R58,"")</f>
        <v/>
      </c>
      <c r="T58" s="80" t="str">
        <f ca="1">IF(AND(G58 &lt;&gt;"",G58&gt;0), IFERROR(VLOOKUP(G58,INDIRECT(AG58),3,TRUE),0), "")</f>
        <v/>
      </c>
      <c r="U58" s="80" t="str">
        <f t="shared" ref="U58:U81" si="19">IF(AND($AA$83&lt;0.08,$I$90="YES",$AF$83&gt;=5000,G58&lt;&gt;"",G58&gt;0),0.01,"")</f>
        <v/>
      </c>
      <c r="V58" s="80"/>
      <c r="W58" s="80"/>
      <c r="X58" s="80"/>
      <c r="Y58" s="80"/>
      <c r="Z58" s="80"/>
      <c r="AA58" s="80" t="str">
        <f t="shared" ref="AA58:AA81" si="20">IF(AND(C58 = 1, G58 &lt;&gt;""), $AA$83,"")</f>
        <v/>
      </c>
      <c r="AB58" s="80"/>
      <c r="AC58" s="80"/>
      <c r="AD58" s="80"/>
      <c r="AE58" s="80">
        <v>1</v>
      </c>
      <c r="AF58" s="76">
        <f t="shared" ref="AF58:AF81" si="21">IF(G58 = "",0,O58*G58)</f>
        <v>0</v>
      </c>
      <c r="AG58" s="74" t="s">
        <v>141</v>
      </c>
      <c r="AI58" s="120"/>
      <c r="AJ58" s="121"/>
      <c r="AK58" s="122"/>
      <c r="AL58" s="121"/>
      <c r="AM58" s="123"/>
      <c r="AN58" s="124"/>
    </row>
    <row r="59" spans="1:40" ht="16.5" customHeight="1" x14ac:dyDescent="0.3">
      <c r="A59" s="13"/>
      <c r="B59" s="73"/>
      <c r="C59" s="73">
        <v>1</v>
      </c>
      <c r="D59" s="74" t="s">
        <v>232</v>
      </c>
      <c r="E59" s="74" t="s">
        <v>233</v>
      </c>
      <c r="F59" s="74" t="s">
        <v>116</v>
      </c>
      <c r="G59" s="75"/>
      <c r="H59" s="76" t="str">
        <f t="shared" ref="H59:H82" si="22">IF(G59*J59= 0,"",G59*J59)</f>
        <v/>
      </c>
      <c r="I59" s="76" t="str">
        <f t="shared" si="13"/>
        <v/>
      </c>
      <c r="J59" s="185"/>
      <c r="K59" s="76" t="str">
        <f t="shared" si="14"/>
        <v/>
      </c>
      <c r="L59" s="77">
        <f ca="1">IF(AND(AE59 &lt;&gt; "", SUM(T59:AD59) &lt;= AE59), SUM(T59:AD59), AE59)</f>
        <v>0</v>
      </c>
      <c r="M59" s="76" t="str">
        <f>IF(OR(G59 ="",J59=""),"",G59*L59*O59)</f>
        <v/>
      </c>
      <c r="N59" s="76" t="str">
        <f t="shared" si="16"/>
        <v/>
      </c>
      <c r="O59" s="76">
        <v>578.92999999999995</v>
      </c>
      <c r="P59" s="76" t="str">
        <f t="shared" si="17"/>
        <v/>
      </c>
      <c r="Q59" s="78">
        <v>0.5</v>
      </c>
      <c r="R59" s="79">
        <f t="shared" si="18"/>
        <v>21.78</v>
      </c>
      <c r="S59" s="79" t="str">
        <f>IF(AND(TRIM(R59)&lt;&gt;"",TRIM(G59)&lt;&gt;""),(G59*127.999939675621)/R59,"")</f>
        <v/>
      </c>
      <c r="T59" s="80" t="str">
        <f t="shared" ref="T59:T81" ca="1" si="23">IF(AND(G59 &lt;&gt;"",G59&gt;0), IFERROR(VLOOKUP(G59,INDIRECT(AG59),3,TRUE),0), "")</f>
        <v/>
      </c>
      <c r="U59" s="80" t="str">
        <f t="shared" si="19"/>
        <v/>
      </c>
      <c r="V59" s="80"/>
      <c r="W59" s="80"/>
      <c r="X59" s="80"/>
      <c r="Y59" s="80"/>
      <c r="Z59" s="80"/>
      <c r="AA59" s="80" t="str">
        <f t="shared" si="20"/>
        <v/>
      </c>
      <c r="AB59" s="80"/>
      <c r="AC59" s="80"/>
      <c r="AD59" s="80"/>
      <c r="AE59" s="80">
        <v>1</v>
      </c>
      <c r="AF59" s="76">
        <f t="shared" si="21"/>
        <v>0</v>
      </c>
      <c r="AG59" s="74" t="s">
        <v>234</v>
      </c>
      <c r="AI59" s="93" t="s">
        <v>62</v>
      </c>
      <c r="AJ59" s="94" t="s">
        <v>21</v>
      </c>
      <c r="AK59" s="95" t="s">
        <v>22</v>
      </c>
      <c r="AL59" s="94" t="s">
        <v>63</v>
      </c>
      <c r="AM59" s="96" t="s">
        <v>31</v>
      </c>
      <c r="AN59" s="97" t="s">
        <v>64</v>
      </c>
    </row>
    <row r="60" spans="1:40" ht="16.5" customHeight="1" x14ac:dyDescent="0.3">
      <c r="A60" s="13"/>
      <c r="B60" s="73"/>
      <c r="C60" s="73"/>
      <c r="D60" s="74" t="s">
        <v>235</v>
      </c>
      <c r="E60" s="74" t="s">
        <v>233</v>
      </c>
      <c r="F60" s="74" t="s">
        <v>236</v>
      </c>
      <c r="G60" s="75"/>
      <c r="H60" s="76" t="str">
        <f t="shared" si="22"/>
        <v/>
      </c>
      <c r="I60" s="76" t="str">
        <f t="shared" si="13"/>
        <v/>
      </c>
      <c r="J60" s="185"/>
      <c r="K60" s="76" t="str">
        <f t="shared" si="14"/>
        <v/>
      </c>
      <c r="L60" s="77">
        <f t="shared" ca="1" si="15"/>
        <v>0</v>
      </c>
      <c r="M60" s="76" t="str">
        <f t="shared" ref="M60:M81" si="24">IF(OR(G60 ="",J60=""),"",G60*L60*O60)</f>
        <v/>
      </c>
      <c r="N60" s="76" t="str">
        <f t="shared" si="16"/>
        <v/>
      </c>
      <c r="O60" s="76">
        <f t="shared" ref="O60:O65" si="25">J60</f>
        <v>0</v>
      </c>
      <c r="P60" s="76" t="str">
        <f t="shared" si="17"/>
        <v/>
      </c>
      <c r="Q60" s="78">
        <v>0.5</v>
      </c>
      <c r="R60" s="79">
        <f t="shared" si="18"/>
        <v>21.78</v>
      </c>
      <c r="S60" s="79" t="str">
        <f>IF(AND(TRIM(R60)&lt;&gt;"",TRIM(G60)&lt;&gt;""),(G60*15.9999999999797)/R60,"")</f>
        <v/>
      </c>
      <c r="T60" s="80" t="str">
        <f t="shared" ca="1" si="23"/>
        <v/>
      </c>
      <c r="U60" s="80" t="str">
        <f t="shared" si="19"/>
        <v/>
      </c>
      <c r="V60" s="80"/>
      <c r="W60" s="80"/>
      <c r="X60" s="80"/>
      <c r="Y60" s="80"/>
      <c r="Z60" s="80"/>
      <c r="AA60" s="80" t="str">
        <f t="shared" si="20"/>
        <v/>
      </c>
      <c r="AB60" s="80"/>
      <c r="AC60" s="80"/>
      <c r="AD60" s="80"/>
      <c r="AE60" s="80">
        <v>1</v>
      </c>
      <c r="AF60" s="76">
        <f t="shared" si="21"/>
        <v>0</v>
      </c>
      <c r="AG60" s="74"/>
      <c r="AI60" s="186" t="s">
        <v>237</v>
      </c>
      <c r="AJ60" s="133" t="s">
        <v>225</v>
      </c>
      <c r="AK60" s="98">
        <v>4</v>
      </c>
      <c r="AL60" s="73" t="s">
        <v>238</v>
      </c>
      <c r="AM60" s="99">
        <v>0.19500000000000001</v>
      </c>
      <c r="AN60" s="100">
        <f>(AK60*51)/(AM60*43.56)</f>
        <v>24.016387652751288</v>
      </c>
    </row>
    <row r="61" spans="1:40" ht="16.5" customHeight="1" x14ac:dyDescent="0.3">
      <c r="A61" s="13"/>
      <c r="B61" s="73"/>
      <c r="C61" s="73">
        <v>1</v>
      </c>
      <c r="D61" s="74" t="s">
        <v>143</v>
      </c>
      <c r="E61" s="74" t="s">
        <v>144</v>
      </c>
      <c r="F61" s="74" t="s">
        <v>145</v>
      </c>
      <c r="G61" s="75"/>
      <c r="H61" s="76" t="str">
        <f t="shared" si="22"/>
        <v/>
      </c>
      <c r="I61" s="76" t="str">
        <f t="shared" si="13"/>
        <v/>
      </c>
      <c r="J61" s="185"/>
      <c r="K61" s="76" t="str">
        <f t="shared" si="14"/>
        <v/>
      </c>
      <c r="L61" s="77">
        <f t="shared" ca="1" si="15"/>
        <v>0</v>
      </c>
      <c r="M61" s="76" t="str">
        <f t="shared" si="24"/>
        <v/>
      </c>
      <c r="N61" s="76" t="str">
        <f t="shared" si="16"/>
        <v/>
      </c>
      <c r="O61" s="76">
        <v>102.3</v>
      </c>
      <c r="P61" s="76" t="str">
        <f t="shared" si="17"/>
        <v/>
      </c>
      <c r="Q61" s="78">
        <v>1.2</v>
      </c>
      <c r="R61" s="79">
        <f t="shared" si="18"/>
        <v>52.271999999999998</v>
      </c>
      <c r="S61" s="79" t="str">
        <f>IF(AND(TRIM(R61)&lt;&gt;"",TRIM(G61)&lt;&gt;""),(G61*31.9999999550214)/R61,"")</f>
        <v/>
      </c>
      <c r="T61" s="80" t="str">
        <f t="shared" ca="1" si="23"/>
        <v/>
      </c>
      <c r="U61" s="80" t="str">
        <f t="shared" si="19"/>
        <v/>
      </c>
      <c r="V61" s="80"/>
      <c r="W61" s="80"/>
      <c r="X61" s="80"/>
      <c r="Y61" s="80"/>
      <c r="Z61" s="80"/>
      <c r="AA61" s="80" t="str">
        <f t="shared" si="20"/>
        <v/>
      </c>
      <c r="AB61" s="80"/>
      <c r="AC61" s="80"/>
      <c r="AD61" s="80"/>
      <c r="AE61" s="80">
        <v>1</v>
      </c>
      <c r="AF61" s="76">
        <f t="shared" si="21"/>
        <v>0</v>
      </c>
      <c r="AG61" s="74" t="s">
        <v>146</v>
      </c>
      <c r="AI61" s="186" t="s">
        <v>239</v>
      </c>
      <c r="AJ61" s="133" t="s">
        <v>72</v>
      </c>
      <c r="AK61" s="98">
        <v>1</v>
      </c>
      <c r="AL61" s="73" t="s">
        <v>240</v>
      </c>
      <c r="AM61" s="99">
        <v>0.73499999999999999</v>
      </c>
      <c r="AN61" s="100">
        <f>(AK61*127.999939675621)/(AM61*43.56)</f>
        <v>3.9979241916887172</v>
      </c>
    </row>
    <row r="62" spans="1:40" ht="16.5" customHeight="1" x14ac:dyDescent="0.3">
      <c r="A62" s="13"/>
      <c r="B62" s="73"/>
      <c r="C62" s="73"/>
      <c r="D62" s="74" t="s">
        <v>147</v>
      </c>
      <c r="E62" s="74" t="s">
        <v>148</v>
      </c>
      <c r="F62" s="74" t="s">
        <v>52</v>
      </c>
      <c r="G62" s="75"/>
      <c r="H62" s="76" t="str">
        <f t="shared" si="22"/>
        <v/>
      </c>
      <c r="I62" s="76" t="str">
        <f t="shared" si="13"/>
        <v/>
      </c>
      <c r="J62" s="185"/>
      <c r="K62" s="76" t="str">
        <f t="shared" si="14"/>
        <v/>
      </c>
      <c r="L62" s="77">
        <f t="shared" ca="1" si="15"/>
        <v>0</v>
      </c>
      <c r="M62" s="76" t="str">
        <f t="shared" si="24"/>
        <v/>
      </c>
      <c r="N62" s="76" t="str">
        <f t="shared" si="16"/>
        <v/>
      </c>
      <c r="O62" s="76">
        <f t="shared" si="25"/>
        <v>0</v>
      </c>
      <c r="P62" s="76" t="str">
        <f t="shared" si="17"/>
        <v/>
      </c>
      <c r="Q62" s="78">
        <v>4</v>
      </c>
      <c r="R62" s="79">
        <f t="shared" si="18"/>
        <v>174.24</v>
      </c>
      <c r="S62" s="79" t="str">
        <f>IF(AND(TRIM(R62)&lt;&gt;"",TRIM(G62)&lt;&gt;""),(G62*319.999849189052)/R62,"")</f>
        <v/>
      </c>
      <c r="T62" s="80" t="str">
        <f t="shared" ca="1" si="23"/>
        <v/>
      </c>
      <c r="U62" s="80" t="str">
        <f t="shared" si="19"/>
        <v/>
      </c>
      <c r="V62" s="80"/>
      <c r="W62" s="80"/>
      <c r="X62" s="80"/>
      <c r="Y62" s="80"/>
      <c r="Z62" s="80"/>
      <c r="AA62" s="80" t="str">
        <f t="shared" si="20"/>
        <v/>
      </c>
      <c r="AB62" s="80"/>
      <c r="AC62" s="80"/>
      <c r="AD62" s="80"/>
      <c r="AE62" s="80">
        <v>1</v>
      </c>
      <c r="AF62" s="76">
        <f t="shared" si="21"/>
        <v>0</v>
      </c>
      <c r="AG62" s="74"/>
      <c r="AI62" s="93" t="s">
        <v>77</v>
      </c>
      <c r="AJ62" s="94" t="s">
        <v>21</v>
      </c>
      <c r="AK62" s="95" t="s">
        <v>22</v>
      </c>
      <c r="AL62" s="94" t="s">
        <v>63</v>
      </c>
      <c r="AM62" s="96" t="s">
        <v>31</v>
      </c>
      <c r="AN62" s="97" t="s">
        <v>64</v>
      </c>
    </row>
    <row r="63" spans="1:40" ht="16.5" customHeight="1" x14ac:dyDescent="0.3">
      <c r="A63" s="13"/>
      <c r="B63" s="73"/>
      <c r="C63" s="73"/>
      <c r="D63" s="74" t="s">
        <v>149</v>
      </c>
      <c r="E63" s="74" t="s">
        <v>150</v>
      </c>
      <c r="F63" s="74" t="s">
        <v>52</v>
      </c>
      <c r="G63" s="75"/>
      <c r="H63" s="76" t="str">
        <f t="shared" si="22"/>
        <v/>
      </c>
      <c r="I63" s="76" t="str">
        <f t="shared" si="13"/>
        <v/>
      </c>
      <c r="J63" s="185"/>
      <c r="K63" s="76" t="str">
        <f t="shared" si="14"/>
        <v/>
      </c>
      <c r="L63" s="77">
        <f t="shared" ca="1" si="15"/>
        <v>0</v>
      </c>
      <c r="M63" s="76" t="str">
        <f t="shared" si="24"/>
        <v/>
      </c>
      <c r="N63" s="76" t="str">
        <f t="shared" si="16"/>
        <v/>
      </c>
      <c r="O63" s="76">
        <f t="shared" si="25"/>
        <v>0</v>
      </c>
      <c r="P63" s="76" t="str">
        <f t="shared" si="17"/>
        <v/>
      </c>
      <c r="Q63" s="78">
        <v>3</v>
      </c>
      <c r="R63" s="79">
        <f t="shared" si="18"/>
        <v>130.68</v>
      </c>
      <c r="S63" s="79" t="str">
        <f>IF(AND(TRIM(R63)&lt;&gt;"",TRIM(G63)&lt;&gt;""),(G63*319.999849189052)/R63,"")</f>
        <v/>
      </c>
      <c r="T63" s="80" t="str">
        <f t="shared" ca="1" si="23"/>
        <v/>
      </c>
      <c r="U63" s="80" t="str">
        <f t="shared" si="19"/>
        <v/>
      </c>
      <c r="V63" s="80"/>
      <c r="W63" s="80"/>
      <c r="X63" s="80"/>
      <c r="Y63" s="80"/>
      <c r="Z63" s="80"/>
      <c r="AA63" s="80" t="str">
        <f t="shared" si="20"/>
        <v/>
      </c>
      <c r="AB63" s="80"/>
      <c r="AC63" s="80"/>
      <c r="AD63" s="80"/>
      <c r="AE63" s="80">
        <v>1</v>
      </c>
      <c r="AF63" s="76">
        <f t="shared" si="21"/>
        <v>0</v>
      </c>
      <c r="AG63" s="74"/>
      <c r="AI63" s="187" t="s">
        <v>81</v>
      </c>
      <c r="AJ63" s="188"/>
      <c r="AK63" s="189"/>
      <c r="AL63" s="188"/>
      <c r="AM63" s="190"/>
      <c r="AN63" s="191"/>
    </row>
    <row r="64" spans="1:40" ht="16.5" customHeight="1" x14ac:dyDescent="0.3">
      <c r="A64" s="13"/>
      <c r="B64" s="73"/>
      <c r="C64" s="73">
        <v>1</v>
      </c>
      <c r="D64" s="74" t="s">
        <v>151</v>
      </c>
      <c r="E64" s="74" t="s">
        <v>152</v>
      </c>
      <c r="F64" s="74" t="s">
        <v>153</v>
      </c>
      <c r="G64" s="75"/>
      <c r="H64" s="76" t="str">
        <f t="shared" si="22"/>
        <v/>
      </c>
      <c r="I64" s="76" t="str">
        <f t="shared" si="13"/>
        <v/>
      </c>
      <c r="J64" s="185"/>
      <c r="K64" s="76" t="str">
        <f t="shared" si="14"/>
        <v/>
      </c>
      <c r="L64" s="77">
        <f t="shared" ca="1" si="15"/>
        <v>0</v>
      </c>
      <c r="M64" s="76" t="str">
        <f t="shared" si="24"/>
        <v/>
      </c>
      <c r="N64" s="76" t="str">
        <f t="shared" si="16"/>
        <v/>
      </c>
      <c r="O64" s="76">
        <v>413.92</v>
      </c>
      <c r="P64" s="76" t="str">
        <f t="shared" si="17"/>
        <v/>
      </c>
      <c r="Q64" s="78">
        <v>0.25</v>
      </c>
      <c r="R64" s="79">
        <f t="shared" si="18"/>
        <v>10.89</v>
      </c>
      <c r="S64" s="79" t="str">
        <f>IF(AND(TRIM(R64)&lt;&gt;"",TRIM(G64)&lt;&gt;""),(G64*15.9999999775107)/R64,"")</f>
        <v/>
      </c>
      <c r="T64" s="80" t="str">
        <f t="shared" ca="1" si="23"/>
        <v/>
      </c>
      <c r="U64" s="80" t="str">
        <f t="shared" si="19"/>
        <v/>
      </c>
      <c r="V64" s="80"/>
      <c r="W64" s="80"/>
      <c r="X64" s="80"/>
      <c r="Y64" s="80"/>
      <c r="Z64" s="80"/>
      <c r="AA64" s="80" t="str">
        <f t="shared" si="20"/>
        <v/>
      </c>
      <c r="AB64" s="80"/>
      <c r="AC64" s="80"/>
      <c r="AD64" s="80"/>
      <c r="AE64" s="80">
        <v>1</v>
      </c>
      <c r="AF64" s="76">
        <f t="shared" si="21"/>
        <v>0</v>
      </c>
      <c r="AG64" s="74" t="s">
        <v>154</v>
      </c>
    </row>
    <row r="65" spans="1:40" ht="16.5" customHeight="1" x14ac:dyDescent="0.3">
      <c r="A65" s="13"/>
      <c r="B65" s="73"/>
      <c r="C65" s="73"/>
      <c r="D65" s="74" t="s">
        <v>157</v>
      </c>
      <c r="E65" s="74" t="s">
        <v>158</v>
      </c>
      <c r="F65" s="74" t="s">
        <v>159</v>
      </c>
      <c r="G65" s="75"/>
      <c r="H65" s="76" t="str">
        <f t="shared" si="22"/>
        <v/>
      </c>
      <c r="I65" s="76" t="str">
        <f t="shared" si="13"/>
        <v/>
      </c>
      <c r="J65" s="185"/>
      <c r="K65" s="76" t="str">
        <f t="shared" si="14"/>
        <v/>
      </c>
      <c r="L65" s="77">
        <f t="shared" ca="1" si="15"/>
        <v>0</v>
      </c>
      <c r="M65" s="76" t="str">
        <f t="shared" si="24"/>
        <v/>
      </c>
      <c r="N65" s="76" t="str">
        <f t="shared" si="16"/>
        <v/>
      </c>
      <c r="O65" s="76">
        <f t="shared" si="25"/>
        <v>0</v>
      </c>
      <c r="P65" s="76" t="str">
        <f t="shared" si="17"/>
        <v/>
      </c>
      <c r="Q65" s="78"/>
      <c r="R65" s="79">
        <f t="shared" si="18"/>
        <v>0</v>
      </c>
      <c r="S65" s="79" t="str">
        <f>IF(AND(TRIM(R65)&lt;&gt;"",TRIM(G65)&lt;&gt;""),(G65*0)/R65,"")</f>
        <v/>
      </c>
      <c r="T65" s="80" t="str">
        <f t="shared" ca="1" si="23"/>
        <v/>
      </c>
      <c r="U65" s="80" t="str">
        <f t="shared" si="19"/>
        <v/>
      </c>
      <c r="V65" s="80"/>
      <c r="W65" s="80"/>
      <c r="X65" s="80"/>
      <c r="Y65" s="80"/>
      <c r="Z65" s="80"/>
      <c r="AA65" s="80" t="str">
        <f t="shared" si="20"/>
        <v/>
      </c>
      <c r="AB65" s="80"/>
      <c r="AC65" s="80"/>
      <c r="AD65" s="80"/>
      <c r="AE65" s="80">
        <v>1</v>
      </c>
      <c r="AF65" s="76">
        <f t="shared" si="21"/>
        <v>0</v>
      </c>
      <c r="AG65" s="74"/>
    </row>
    <row r="66" spans="1:40" ht="16.5" customHeight="1" x14ac:dyDescent="0.3">
      <c r="A66" s="13"/>
      <c r="B66" s="73"/>
      <c r="C66" s="73">
        <v>1</v>
      </c>
      <c r="D66" s="74" t="s">
        <v>241</v>
      </c>
      <c r="E66" s="74" t="s">
        <v>242</v>
      </c>
      <c r="F66" s="74" t="s">
        <v>52</v>
      </c>
      <c r="G66" s="75"/>
      <c r="H66" s="76" t="str">
        <f t="shared" si="22"/>
        <v/>
      </c>
      <c r="I66" s="76" t="str">
        <f t="shared" si="13"/>
        <v/>
      </c>
      <c r="J66" s="185"/>
      <c r="K66" s="76" t="str">
        <f t="shared" si="14"/>
        <v/>
      </c>
      <c r="L66" s="77">
        <f t="shared" ca="1" si="15"/>
        <v>0</v>
      </c>
      <c r="M66" s="76" t="str">
        <f t="shared" si="24"/>
        <v/>
      </c>
      <c r="N66" s="76" t="str">
        <f t="shared" si="16"/>
        <v/>
      </c>
      <c r="O66" s="76">
        <v>192.5</v>
      </c>
      <c r="P66" s="76" t="str">
        <f t="shared" si="17"/>
        <v/>
      </c>
      <c r="Q66" s="78">
        <v>5.75</v>
      </c>
      <c r="R66" s="79">
        <f t="shared" si="18"/>
        <v>250.47000000000003</v>
      </c>
      <c r="S66" s="79" t="str">
        <f>IF(AND(TRIM(R66)&lt;&gt;"",TRIM(G66)&lt;&gt;""),(G66*319.999849189052)/R66,"")</f>
        <v/>
      </c>
      <c r="T66" s="80" t="str">
        <f t="shared" ca="1" si="23"/>
        <v/>
      </c>
      <c r="U66" s="80" t="str">
        <f t="shared" si="19"/>
        <v/>
      </c>
      <c r="V66" s="80"/>
      <c r="W66" s="80"/>
      <c r="X66" s="80"/>
      <c r="Y66" s="80"/>
      <c r="Z66" s="80"/>
      <c r="AA66" s="80" t="str">
        <f t="shared" si="20"/>
        <v/>
      </c>
      <c r="AB66" s="80"/>
      <c r="AC66" s="80"/>
      <c r="AD66" s="80"/>
      <c r="AE66" s="80">
        <v>1</v>
      </c>
      <c r="AF66" s="76">
        <f t="shared" si="21"/>
        <v>0</v>
      </c>
      <c r="AG66" s="74"/>
      <c r="AI66" s="111" t="s">
        <v>243</v>
      </c>
      <c r="AJ66" s="111"/>
      <c r="AK66" s="112"/>
      <c r="AL66" s="111"/>
      <c r="AM66" s="113"/>
      <c r="AN66" s="127"/>
    </row>
    <row r="67" spans="1:40" ht="16.5" customHeight="1" x14ac:dyDescent="0.3">
      <c r="A67" s="13"/>
      <c r="B67" s="73"/>
      <c r="C67" s="73"/>
      <c r="D67" s="74" t="s">
        <v>244</v>
      </c>
      <c r="E67" s="74" t="s">
        <v>245</v>
      </c>
      <c r="F67" s="74" t="s">
        <v>167</v>
      </c>
      <c r="G67" s="75"/>
      <c r="H67" s="76" t="str">
        <f t="shared" si="22"/>
        <v/>
      </c>
      <c r="I67" s="76" t="str">
        <f t="shared" si="13"/>
        <v/>
      </c>
      <c r="J67" s="185"/>
      <c r="K67" s="76" t="str">
        <f t="shared" si="14"/>
        <v/>
      </c>
      <c r="L67" s="77">
        <f t="shared" ca="1" si="15"/>
        <v>0</v>
      </c>
      <c r="M67" s="76" t="str">
        <f t="shared" si="24"/>
        <v/>
      </c>
      <c r="N67" s="76" t="str">
        <f t="shared" si="16"/>
        <v/>
      </c>
      <c r="O67" s="76">
        <v>0</v>
      </c>
      <c r="P67" s="76" t="str">
        <f t="shared" si="17"/>
        <v/>
      </c>
      <c r="Q67" s="78">
        <v>3</v>
      </c>
      <c r="R67" s="79">
        <f t="shared" si="18"/>
        <v>130.68</v>
      </c>
      <c r="S67" s="79" t="str">
        <f>IF(AND(TRIM(R67)&lt;&gt;"",TRIM(G67)&lt;&gt;""),(G67*30)/R67,"")</f>
        <v/>
      </c>
      <c r="T67" s="80" t="str">
        <f t="shared" ca="1" si="23"/>
        <v/>
      </c>
      <c r="U67" s="80" t="str">
        <f t="shared" si="19"/>
        <v/>
      </c>
      <c r="V67" s="80"/>
      <c r="W67" s="80"/>
      <c r="X67" s="80"/>
      <c r="Y67" s="80"/>
      <c r="Z67" s="80"/>
      <c r="AA67" s="80" t="str">
        <f t="shared" si="20"/>
        <v/>
      </c>
      <c r="AB67" s="80"/>
      <c r="AC67" s="80"/>
      <c r="AD67" s="80"/>
      <c r="AE67" s="80">
        <v>1</v>
      </c>
      <c r="AF67" s="76">
        <f t="shared" si="21"/>
        <v>0</v>
      </c>
      <c r="AG67" s="74"/>
      <c r="AI67" s="111"/>
      <c r="AJ67" s="111"/>
      <c r="AK67" s="112"/>
      <c r="AL67" s="111"/>
      <c r="AM67" s="113"/>
      <c r="AN67" s="127"/>
    </row>
    <row r="68" spans="1:40" ht="16.5" customHeight="1" x14ac:dyDescent="0.3">
      <c r="A68" s="13"/>
      <c r="B68" s="73"/>
      <c r="C68" s="73">
        <v>1</v>
      </c>
      <c r="D68" s="74" t="s">
        <v>162</v>
      </c>
      <c r="E68" s="74" t="s">
        <v>163</v>
      </c>
      <c r="F68" s="74" t="s">
        <v>164</v>
      </c>
      <c r="G68" s="75"/>
      <c r="H68" s="76" t="str">
        <f t="shared" si="22"/>
        <v/>
      </c>
      <c r="I68" s="76" t="str">
        <f t="shared" si="13"/>
        <v/>
      </c>
      <c r="J68" s="185"/>
      <c r="K68" s="76" t="str">
        <f t="shared" si="14"/>
        <v/>
      </c>
      <c r="L68" s="77">
        <f t="shared" ca="1" si="15"/>
        <v>0</v>
      </c>
      <c r="M68" s="76" t="str">
        <f t="shared" si="24"/>
        <v/>
      </c>
      <c r="N68" s="76" t="str">
        <f t="shared" si="16"/>
        <v/>
      </c>
      <c r="O68" s="76">
        <v>193.5</v>
      </c>
      <c r="P68" s="76" t="str">
        <f t="shared" si="17"/>
        <v/>
      </c>
      <c r="Q68" s="78">
        <v>3</v>
      </c>
      <c r="R68" s="79">
        <f t="shared" si="18"/>
        <v>130.68</v>
      </c>
      <c r="S68" s="79" t="str">
        <f>IF(AND(TRIM(R68)&lt;&gt;"",TRIM(G68)&lt;&gt;""),(G68*8)/R68,"")</f>
        <v/>
      </c>
      <c r="T68" s="80" t="str">
        <f t="shared" ca="1" si="23"/>
        <v/>
      </c>
      <c r="U68" s="80" t="str">
        <f t="shared" si="19"/>
        <v/>
      </c>
      <c r="V68" s="80"/>
      <c r="W68" s="80"/>
      <c r="X68" s="80"/>
      <c r="Y68" s="80"/>
      <c r="Z68" s="80"/>
      <c r="AA68" s="80" t="str">
        <f t="shared" si="20"/>
        <v/>
      </c>
      <c r="AB68" s="80"/>
      <c r="AC68" s="80"/>
      <c r="AD68" s="80"/>
      <c r="AE68" s="80">
        <v>1</v>
      </c>
      <c r="AF68" s="76">
        <f t="shared" si="21"/>
        <v>0</v>
      </c>
      <c r="AG68" s="74"/>
      <c r="AI68" s="116"/>
      <c r="AJ68" s="116"/>
      <c r="AK68" s="117"/>
      <c r="AL68" s="116"/>
      <c r="AM68" s="118"/>
      <c r="AN68" s="128"/>
    </row>
    <row r="69" spans="1:40" ht="16.5" customHeight="1" thickBot="1" x14ac:dyDescent="0.35">
      <c r="A69" s="13"/>
      <c r="B69" s="73"/>
      <c r="C69" s="73"/>
      <c r="D69" s="74" t="s">
        <v>165</v>
      </c>
      <c r="E69" s="74" t="s">
        <v>166</v>
      </c>
      <c r="F69" s="74" t="s">
        <v>167</v>
      </c>
      <c r="G69" s="75"/>
      <c r="H69" s="76" t="str">
        <f t="shared" si="22"/>
        <v/>
      </c>
      <c r="I69" s="76" t="str">
        <f t="shared" si="13"/>
        <v/>
      </c>
      <c r="J69" s="185"/>
      <c r="K69" s="76" t="str">
        <f t="shared" si="14"/>
        <v/>
      </c>
      <c r="L69" s="77">
        <f t="shared" ca="1" si="15"/>
        <v>0</v>
      </c>
      <c r="M69" s="76" t="str">
        <f t="shared" si="24"/>
        <v/>
      </c>
      <c r="N69" s="76" t="str">
        <f t="shared" si="16"/>
        <v/>
      </c>
      <c r="O69" s="76">
        <v>0</v>
      </c>
      <c r="P69" s="76" t="str">
        <f t="shared" si="17"/>
        <v/>
      </c>
      <c r="Q69" s="78">
        <v>1.4</v>
      </c>
      <c r="R69" s="79">
        <f t="shared" si="18"/>
        <v>60.984000000000002</v>
      </c>
      <c r="S69" s="79" t="str">
        <f>IF(AND(TRIM(R69)&lt;&gt;"",TRIM(G69)&lt;&gt;""),(G69*30)/R69,"")</f>
        <v/>
      </c>
      <c r="T69" s="80" t="str">
        <f t="shared" ca="1" si="23"/>
        <v/>
      </c>
      <c r="U69" s="80" t="str">
        <f t="shared" si="19"/>
        <v/>
      </c>
      <c r="V69" s="80"/>
      <c r="W69" s="80"/>
      <c r="X69" s="80"/>
      <c r="Y69" s="80"/>
      <c r="Z69" s="80"/>
      <c r="AA69" s="80" t="str">
        <f t="shared" si="20"/>
        <v/>
      </c>
      <c r="AB69" s="80"/>
      <c r="AC69" s="80"/>
      <c r="AD69" s="80"/>
      <c r="AE69" s="80">
        <v>1</v>
      </c>
      <c r="AF69" s="76">
        <f t="shared" si="21"/>
        <v>0</v>
      </c>
      <c r="AG69" s="74"/>
      <c r="AI69" s="116"/>
      <c r="AJ69" s="116"/>
      <c r="AK69" s="117"/>
      <c r="AL69" s="116"/>
      <c r="AM69" s="118"/>
      <c r="AN69" s="128"/>
    </row>
    <row r="70" spans="1:40" ht="16.5" customHeight="1" thickTop="1" x14ac:dyDescent="0.3">
      <c r="A70" s="13"/>
      <c r="B70" s="73"/>
      <c r="C70" s="73"/>
      <c r="D70" s="74" t="s">
        <v>168</v>
      </c>
      <c r="E70" s="74" t="s">
        <v>169</v>
      </c>
      <c r="F70" s="74" t="s">
        <v>116</v>
      </c>
      <c r="G70" s="75"/>
      <c r="H70" s="76" t="str">
        <f t="shared" si="22"/>
        <v/>
      </c>
      <c r="I70" s="76" t="str">
        <f t="shared" si="13"/>
        <v/>
      </c>
      <c r="J70" s="185"/>
      <c r="K70" s="76" t="str">
        <f t="shared" si="14"/>
        <v/>
      </c>
      <c r="L70" s="77">
        <f t="shared" ca="1" si="15"/>
        <v>0</v>
      </c>
      <c r="M70" s="76" t="str">
        <f t="shared" si="24"/>
        <v/>
      </c>
      <c r="N70" s="76" t="str">
        <f t="shared" si="16"/>
        <v/>
      </c>
      <c r="O70" s="76">
        <v>0</v>
      </c>
      <c r="P70" s="76" t="str">
        <f t="shared" si="17"/>
        <v/>
      </c>
      <c r="Q70" s="78">
        <v>0.53</v>
      </c>
      <c r="R70" s="79">
        <f t="shared" si="18"/>
        <v>23.086800000000004</v>
      </c>
      <c r="S70" s="79" t="str">
        <f>IF(AND(TRIM(R70)&lt;&gt;"",TRIM(G70)&lt;&gt;""),(G70*127.999939675621)/R70,"")</f>
        <v/>
      </c>
      <c r="T70" s="80" t="str">
        <f t="shared" ca="1" si="23"/>
        <v/>
      </c>
      <c r="U70" s="80" t="str">
        <f t="shared" si="19"/>
        <v/>
      </c>
      <c r="V70" s="80"/>
      <c r="W70" s="80"/>
      <c r="X70" s="80"/>
      <c r="Y70" s="80"/>
      <c r="Z70" s="80"/>
      <c r="AA70" s="80" t="str">
        <f t="shared" si="20"/>
        <v/>
      </c>
      <c r="AB70" s="80"/>
      <c r="AC70" s="80"/>
      <c r="AD70" s="80"/>
      <c r="AE70" s="80">
        <v>1</v>
      </c>
      <c r="AF70" s="76">
        <f t="shared" si="21"/>
        <v>0</v>
      </c>
      <c r="AG70" s="74"/>
      <c r="AI70" s="121"/>
      <c r="AJ70" s="121"/>
      <c r="AK70" s="122"/>
      <c r="AL70" s="121"/>
      <c r="AM70" s="123"/>
      <c r="AN70" s="129"/>
    </row>
    <row r="71" spans="1:40" ht="16.5" customHeight="1" x14ac:dyDescent="0.3">
      <c r="A71" s="13"/>
      <c r="B71" s="73"/>
      <c r="C71" s="73"/>
      <c r="D71" s="74" t="s">
        <v>170</v>
      </c>
      <c r="E71" s="74" t="s">
        <v>171</v>
      </c>
      <c r="F71" s="74" t="s">
        <v>172</v>
      </c>
      <c r="G71" s="75"/>
      <c r="H71" s="76" t="str">
        <f t="shared" si="22"/>
        <v/>
      </c>
      <c r="I71" s="76" t="str">
        <f t="shared" si="13"/>
        <v/>
      </c>
      <c r="J71" s="185"/>
      <c r="K71" s="76" t="str">
        <f t="shared" si="14"/>
        <v/>
      </c>
      <c r="L71" s="77">
        <f t="shared" ca="1" si="15"/>
        <v>0</v>
      </c>
      <c r="M71" s="76" t="str">
        <f t="shared" si="24"/>
        <v/>
      </c>
      <c r="N71" s="76" t="str">
        <f t="shared" si="16"/>
        <v/>
      </c>
      <c r="O71" s="76">
        <v>0</v>
      </c>
      <c r="P71" s="76" t="str">
        <f t="shared" si="17"/>
        <v/>
      </c>
      <c r="Q71" s="78">
        <v>0.17199999999999999</v>
      </c>
      <c r="R71" s="79">
        <f t="shared" si="18"/>
        <v>7.4923199999999994</v>
      </c>
      <c r="S71" s="79" t="str">
        <f>IF(AND(TRIM(R71)&lt;&gt;"",TRIM(G71)&lt;&gt;""),(G71*6.4)/R71,"")</f>
        <v/>
      </c>
      <c r="T71" s="80" t="str">
        <f t="shared" ca="1" si="23"/>
        <v/>
      </c>
      <c r="U71" s="80" t="str">
        <f t="shared" si="19"/>
        <v/>
      </c>
      <c r="V71" s="80"/>
      <c r="W71" s="80"/>
      <c r="X71" s="80"/>
      <c r="Y71" s="80"/>
      <c r="Z71" s="80"/>
      <c r="AA71" s="80" t="str">
        <f t="shared" si="20"/>
        <v/>
      </c>
      <c r="AB71" s="80"/>
      <c r="AC71" s="80"/>
      <c r="AD71" s="80"/>
      <c r="AE71" s="80">
        <v>1</v>
      </c>
      <c r="AF71" s="76">
        <f>IF(G71 = "",0,O71*G71)</f>
        <v>0</v>
      </c>
      <c r="AG71" s="74"/>
      <c r="AI71" s="130" t="s">
        <v>62</v>
      </c>
      <c r="AJ71" s="94" t="s">
        <v>21</v>
      </c>
      <c r="AK71" s="95" t="s">
        <v>22</v>
      </c>
      <c r="AL71" s="94" t="s">
        <v>63</v>
      </c>
      <c r="AM71" s="96" t="s">
        <v>31</v>
      </c>
      <c r="AN71" s="131" t="s">
        <v>64</v>
      </c>
    </row>
    <row r="72" spans="1:40" ht="16.5" customHeight="1" x14ac:dyDescent="0.3">
      <c r="A72" s="13"/>
      <c r="B72" s="73"/>
      <c r="C72" s="73">
        <v>1</v>
      </c>
      <c r="D72" s="74" t="s">
        <v>173</v>
      </c>
      <c r="E72" s="74" t="s">
        <v>174</v>
      </c>
      <c r="F72" s="74" t="s">
        <v>52</v>
      </c>
      <c r="G72" s="75"/>
      <c r="H72" s="76" t="str">
        <f t="shared" si="22"/>
        <v/>
      </c>
      <c r="I72" s="76" t="str">
        <f t="shared" si="13"/>
        <v/>
      </c>
      <c r="J72" s="185"/>
      <c r="K72" s="76" t="str">
        <f t="shared" si="14"/>
        <v/>
      </c>
      <c r="L72" s="77">
        <f t="shared" ca="1" si="15"/>
        <v>0</v>
      </c>
      <c r="M72" s="76" t="str">
        <f t="shared" si="24"/>
        <v/>
      </c>
      <c r="N72" s="76" t="str">
        <f t="shared" si="16"/>
        <v/>
      </c>
      <c r="O72" s="76">
        <v>388.94367999999997</v>
      </c>
      <c r="P72" s="76" t="str">
        <f t="shared" si="17"/>
        <v/>
      </c>
      <c r="Q72" s="78">
        <v>1.5</v>
      </c>
      <c r="R72" s="79">
        <f t="shared" si="18"/>
        <v>65.34</v>
      </c>
      <c r="S72" s="79" t="str">
        <f>IF(AND(TRIM(R72)&lt;&gt;"",TRIM(G72)&lt;&gt;""),(G72*319.999849189052)/R72,"")</f>
        <v/>
      </c>
      <c r="T72" s="80" t="str">
        <f t="shared" ca="1" si="23"/>
        <v/>
      </c>
      <c r="U72" s="80" t="str">
        <f t="shared" si="19"/>
        <v/>
      </c>
      <c r="V72" s="80"/>
      <c r="W72" s="80"/>
      <c r="X72" s="80"/>
      <c r="Y72" s="80"/>
      <c r="Z72" s="80"/>
      <c r="AA72" s="80" t="str">
        <f t="shared" si="20"/>
        <v/>
      </c>
      <c r="AB72" s="80"/>
      <c r="AC72" s="80"/>
      <c r="AD72" s="80"/>
      <c r="AE72" s="80">
        <v>1</v>
      </c>
      <c r="AF72" s="76">
        <f t="shared" si="21"/>
        <v>0</v>
      </c>
      <c r="AG72" s="74"/>
      <c r="AI72" s="132" t="s">
        <v>237</v>
      </c>
      <c r="AJ72" s="133" t="s">
        <v>225</v>
      </c>
      <c r="AK72" s="98">
        <v>1</v>
      </c>
      <c r="AL72" s="73" t="s">
        <v>246</v>
      </c>
      <c r="AM72" s="99">
        <v>0.19500000000000001</v>
      </c>
      <c r="AN72" s="100">
        <f>(AK72*51)/(AM72*43.56)</f>
        <v>6.0040969131878219</v>
      </c>
    </row>
    <row r="73" spans="1:40" ht="16.5" customHeight="1" x14ac:dyDescent="0.3">
      <c r="A73" s="13"/>
      <c r="B73" s="73"/>
      <c r="C73" s="73">
        <v>1</v>
      </c>
      <c r="D73" s="74" t="s">
        <v>176</v>
      </c>
      <c r="E73" s="74" t="s">
        <v>177</v>
      </c>
      <c r="F73" s="74" t="s">
        <v>178</v>
      </c>
      <c r="G73" s="75"/>
      <c r="H73" s="76" t="str">
        <f t="shared" si="22"/>
        <v/>
      </c>
      <c r="I73" s="76" t="str">
        <f t="shared" si="13"/>
        <v/>
      </c>
      <c r="J73" s="185"/>
      <c r="K73" s="76" t="str">
        <f t="shared" si="14"/>
        <v/>
      </c>
      <c r="L73" s="77">
        <f t="shared" ca="1" si="15"/>
        <v>0</v>
      </c>
      <c r="M73" s="76" t="str">
        <f t="shared" si="24"/>
        <v/>
      </c>
      <c r="N73" s="76" t="str">
        <f t="shared" si="16"/>
        <v/>
      </c>
      <c r="O73" s="76">
        <v>172.80119999999997</v>
      </c>
      <c r="P73" s="76" t="str">
        <f t="shared" si="17"/>
        <v/>
      </c>
      <c r="Q73" s="78">
        <v>2.2000000000000002</v>
      </c>
      <c r="R73" s="79">
        <f t="shared" si="18"/>
        <v>95.832000000000008</v>
      </c>
      <c r="S73" s="79" t="str">
        <f>IF(AND(TRIM(R73)&lt;&gt;"",TRIM(G73)&lt;&gt;""),(G73*47.9999999325321)/R73,"")</f>
        <v/>
      </c>
      <c r="T73" s="80" t="str">
        <f t="shared" ca="1" si="23"/>
        <v/>
      </c>
      <c r="U73" s="80" t="str">
        <f t="shared" si="19"/>
        <v/>
      </c>
      <c r="V73" s="80"/>
      <c r="W73" s="80"/>
      <c r="X73" s="80"/>
      <c r="Y73" s="80"/>
      <c r="Z73" s="80"/>
      <c r="AA73" s="80" t="str">
        <f t="shared" si="20"/>
        <v/>
      </c>
      <c r="AB73" s="80"/>
      <c r="AC73" s="80"/>
      <c r="AD73" s="80"/>
      <c r="AE73" s="80">
        <v>1</v>
      </c>
      <c r="AF73" s="76">
        <f t="shared" si="21"/>
        <v>0</v>
      </c>
      <c r="AG73" s="74"/>
      <c r="AI73" s="132" t="s">
        <v>239</v>
      </c>
      <c r="AJ73" s="133" t="s">
        <v>72</v>
      </c>
      <c r="AK73" s="98">
        <v>4</v>
      </c>
      <c r="AL73" s="73" t="s">
        <v>247</v>
      </c>
      <c r="AM73" s="99">
        <v>0.73499999999999999</v>
      </c>
      <c r="AN73" s="100">
        <f>(AK73*127.999939675621)/(AM73*43.56)</f>
        <v>15.991696766754869</v>
      </c>
    </row>
    <row r="74" spans="1:40" ht="16.5" customHeight="1" x14ac:dyDescent="0.3">
      <c r="A74" s="13"/>
      <c r="B74" s="73"/>
      <c r="C74" s="73">
        <v>1</v>
      </c>
      <c r="D74" s="74" t="s">
        <v>179</v>
      </c>
      <c r="E74" s="74" t="s">
        <v>180</v>
      </c>
      <c r="F74" s="74" t="s">
        <v>52</v>
      </c>
      <c r="G74" s="75"/>
      <c r="H74" s="76" t="str">
        <f t="shared" si="22"/>
        <v/>
      </c>
      <c r="I74" s="76" t="str">
        <f t="shared" si="13"/>
        <v/>
      </c>
      <c r="J74" s="185"/>
      <c r="K74" s="76" t="str">
        <f t="shared" si="14"/>
        <v/>
      </c>
      <c r="L74" s="77">
        <f t="shared" ca="1" si="15"/>
        <v>0</v>
      </c>
      <c r="M74" s="76" t="str">
        <f t="shared" si="24"/>
        <v/>
      </c>
      <c r="N74" s="76" t="str">
        <f t="shared" si="16"/>
        <v/>
      </c>
      <c r="O74" s="76">
        <v>90.831399999999988</v>
      </c>
      <c r="P74" s="76" t="str">
        <f t="shared" si="17"/>
        <v/>
      </c>
      <c r="Q74" s="78">
        <v>5</v>
      </c>
      <c r="R74" s="79">
        <f t="shared" si="18"/>
        <v>217.8</v>
      </c>
      <c r="S74" s="79" t="str">
        <f>IF(AND(TRIM(R74)&lt;&gt;"",TRIM(G74)&lt;&gt;""),(G74*319.999849189052)/R74,"")</f>
        <v/>
      </c>
      <c r="T74" s="80" t="str">
        <f t="shared" ca="1" si="23"/>
        <v/>
      </c>
      <c r="U74" s="80" t="str">
        <f t="shared" si="19"/>
        <v/>
      </c>
      <c r="V74" s="80"/>
      <c r="W74" s="80"/>
      <c r="X74" s="80"/>
      <c r="Y74" s="80"/>
      <c r="Z74" s="80"/>
      <c r="AA74" s="80" t="str">
        <f t="shared" si="20"/>
        <v/>
      </c>
      <c r="AB74" s="80"/>
      <c r="AC74" s="80"/>
      <c r="AD74" s="80"/>
      <c r="AE74" s="80">
        <v>1</v>
      </c>
      <c r="AF74" s="76">
        <f t="shared" si="21"/>
        <v>0</v>
      </c>
      <c r="AG74" s="74"/>
      <c r="AI74" s="130" t="s">
        <v>77</v>
      </c>
      <c r="AJ74" s="94" t="s">
        <v>21</v>
      </c>
      <c r="AK74" s="95" t="s">
        <v>22</v>
      </c>
      <c r="AL74" s="94" t="s">
        <v>63</v>
      </c>
      <c r="AM74" s="96" t="s">
        <v>31</v>
      </c>
      <c r="AN74" s="131" t="s">
        <v>64</v>
      </c>
    </row>
    <row r="75" spans="1:40" ht="16.5" customHeight="1" x14ac:dyDescent="0.3">
      <c r="A75" s="13"/>
      <c r="B75" s="73"/>
      <c r="C75" s="73">
        <v>1</v>
      </c>
      <c r="D75" s="74" t="s">
        <v>181</v>
      </c>
      <c r="E75" s="74" t="s">
        <v>99</v>
      </c>
      <c r="F75" s="74" t="s">
        <v>182</v>
      </c>
      <c r="G75" s="75"/>
      <c r="H75" s="76" t="str">
        <f t="shared" si="22"/>
        <v/>
      </c>
      <c r="I75" s="76" t="str">
        <f t="shared" si="13"/>
        <v/>
      </c>
      <c r="J75" s="185"/>
      <c r="K75" s="76" t="str">
        <f t="shared" si="14"/>
        <v/>
      </c>
      <c r="L75" s="77">
        <f t="shared" ca="1" si="15"/>
        <v>0</v>
      </c>
      <c r="M75" s="76" t="str">
        <f t="shared" si="24"/>
        <v/>
      </c>
      <c r="N75" s="76" t="str">
        <f t="shared" si="16"/>
        <v/>
      </c>
      <c r="O75" s="76">
        <v>260.02753999999999</v>
      </c>
      <c r="P75" s="76" t="str">
        <f t="shared" si="17"/>
        <v/>
      </c>
      <c r="Q75" s="78">
        <v>0.4</v>
      </c>
      <c r="R75" s="79">
        <f t="shared" si="18"/>
        <v>17.424000000000003</v>
      </c>
      <c r="S75" s="79" t="str">
        <f>IF(AND(TRIM(R75)&lt;&gt;"",TRIM(G75)&lt;&gt;""),(G75*32)/R75,"")</f>
        <v/>
      </c>
      <c r="T75" s="80" t="str">
        <f t="shared" ca="1" si="23"/>
        <v/>
      </c>
      <c r="U75" s="80" t="str">
        <f t="shared" si="19"/>
        <v/>
      </c>
      <c r="V75" s="80"/>
      <c r="W75" s="80"/>
      <c r="X75" s="80"/>
      <c r="Y75" s="80"/>
      <c r="Z75" s="80"/>
      <c r="AA75" s="80" t="str">
        <f t="shared" si="20"/>
        <v/>
      </c>
      <c r="AB75" s="80"/>
      <c r="AC75" s="80"/>
      <c r="AD75" s="80"/>
      <c r="AE75" s="80">
        <v>1</v>
      </c>
      <c r="AF75" s="76">
        <f t="shared" si="21"/>
        <v>0</v>
      </c>
      <c r="AG75" s="74"/>
      <c r="AI75" s="192" t="s">
        <v>81</v>
      </c>
      <c r="AJ75" s="192"/>
      <c r="AK75" s="193"/>
      <c r="AL75" s="192"/>
      <c r="AM75" s="194"/>
      <c r="AN75" s="195"/>
    </row>
    <row r="76" spans="1:40" ht="16.5" customHeight="1" x14ac:dyDescent="0.3">
      <c r="A76" s="13"/>
      <c r="B76" s="73"/>
      <c r="C76" s="73"/>
      <c r="D76" s="74" t="s">
        <v>183</v>
      </c>
      <c r="E76" s="74" t="s">
        <v>184</v>
      </c>
      <c r="F76" s="74" t="s">
        <v>52</v>
      </c>
      <c r="G76" s="75"/>
      <c r="H76" s="76" t="str">
        <f t="shared" si="22"/>
        <v/>
      </c>
      <c r="I76" s="76" t="str">
        <f t="shared" si="13"/>
        <v/>
      </c>
      <c r="J76" s="185"/>
      <c r="K76" s="76" t="str">
        <f t="shared" si="14"/>
        <v/>
      </c>
      <c r="L76" s="77">
        <f t="shared" ca="1" si="15"/>
        <v>0</v>
      </c>
      <c r="M76" s="76" t="str">
        <f t="shared" si="24"/>
        <v/>
      </c>
      <c r="N76" s="76" t="str">
        <f t="shared" si="16"/>
        <v/>
      </c>
      <c r="O76" s="76">
        <v>0</v>
      </c>
      <c r="P76" s="76" t="str">
        <f t="shared" si="17"/>
        <v/>
      </c>
      <c r="Q76" s="78">
        <v>6</v>
      </c>
      <c r="R76" s="79">
        <f t="shared" si="18"/>
        <v>261.36</v>
      </c>
      <c r="S76" s="79" t="str">
        <f>IF(AND(TRIM(R76)&lt;&gt;"",TRIM(G76)&lt;&gt;""),(G76*319.999849189052)/R76,"")</f>
        <v/>
      </c>
      <c r="T76" s="80" t="str">
        <f t="shared" ca="1" si="23"/>
        <v/>
      </c>
      <c r="U76" s="80" t="str">
        <f t="shared" si="19"/>
        <v/>
      </c>
      <c r="V76" s="80"/>
      <c r="W76" s="80"/>
      <c r="X76" s="80"/>
      <c r="Y76" s="80"/>
      <c r="Z76" s="80"/>
      <c r="AA76" s="80" t="str">
        <f t="shared" si="20"/>
        <v/>
      </c>
      <c r="AB76" s="80"/>
      <c r="AC76" s="80"/>
      <c r="AD76" s="80"/>
      <c r="AE76" s="80">
        <v>1</v>
      </c>
      <c r="AF76" s="76">
        <f t="shared" si="21"/>
        <v>0</v>
      </c>
      <c r="AG76" s="74"/>
    </row>
    <row r="77" spans="1:40" ht="16.5" customHeight="1" x14ac:dyDescent="0.3">
      <c r="A77" s="13"/>
      <c r="B77" s="73"/>
      <c r="C77" s="73">
        <v>1</v>
      </c>
      <c r="D77" s="74" t="s">
        <v>185</v>
      </c>
      <c r="E77" s="74" t="s">
        <v>186</v>
      </c>
      <c r="F77" s="74" t="s">
        <v>187</v>
      </c>
      <c r="G77" s="75"/>
      <c r="H77" s="76" t="str">
        <f t="shared" si="22"/>
        <v/>
      </c>
      <c r="I77" s="76" t="str">
        <f t="shared" si="13"/>
        <v/>
      </c>
      <c r="J77" s="185"/>
      <c r="K77" s="76" t="str">
        <f t="shared" si="14"/>
        <v/>
      </c>
      <c r="L77" s="77">
        <f t="shared" ca="1" si="15"/>
        <v>0</v>
      </c>
      <c r="M77" s="76" t="str">
        <f t="shared" si="24"/>
        <v/>
      </c>
      <c r="N77" s="76" t="str">
        <f t="shared" si="16"/>
        <v/>
      </c>
      <c r="O77" s="76">
        <v>72.77588999999999</v>
      </c>
      <c r="P77" s="76" t="str">
        <f t="shared" si="17"/>
        <v/>
      </c>
      <c r="Q77" s="78">
        <v>16</v>
      </c>
      <c r="R77" s="79">
        <f t="shared" si="18"/>
        <v>696.96</v>
      </c>
      <c r="S77" s="79" t="str">
        <f>IF(AND(TRIM(R77)&lt;&gt;"",TRIM(G77)&lt;&gt;""),(G77*144)/R77,"")</f>
        <v/>
      </c>
      <c r="T77" s="80" t="str">
        <f t="shared" ca="1" si="23"/>
        <v/>
      </c>
      <c r="U77" s="80" t="str">
        <f t="shared" si="19"/>
        <v/>
      </c>
      <c r="V77" s="80"/>
      <c r="W77" s="80"/>
      <c r="X77" s="80"/>
      <c r="Y77" s="80"/>
      <c r="Z77" s="80"/>
      <c r="AA77" s="80" t="str">
        <f t="shared" si="20"/>
        <v/>
      </c>
      <c r="AB77" s="80"/>
      <c r="AC77" s="80"/>
      <c r="AD77" s="80"/>
      <c r="AE77" s="80">
        <v>1</v>
      </c>
      <c r="AF77" s="76">
        <f t="shared" si="21"/>
        <v>0</v>
      </c>
      <c r="AG77" s="74"/>
    </row>
    <row r="78" spans="1:40" ht="16.5" customHeight="1" x14ac:dyDescent="0.3">
      <c r="A78" s="13"/>
      <c r="B78" s="73"/>
      <c r="C78" s="73"/>
      <c r="D78" s="74" t="s">
        <v>188</v>
      </c>
      <c r="E78" s="74" t="s">
        <v>189</v>
      </c>
      <c r="F78" s="74" t="s">
        <v>190</v>
      </c>
      <c r="G78" s="75"/>
      <c r="H78" s="76" t="str">
        <f t="shared" si="22"/>
        <v/>
      </c>
      <c r="I78" s="76" t="str">
        <f t="shared" si="13"/>
        <v/>
      </c>
      <c r="J78" s="185"/>
      <c r="K78" s="76" t="str">
        <f t="shared" si="14"/>
        <v/>
      </c>
      <c r="L78" s="77">
        <f t="shared" ca="1" si="15"/>
        <v>0</v>
      </c>
      <c r="M78" s="76" t="str">
        <f t="shared" si="24"/>
        <v/>
      </c>
      <c r="N78" s="76" t="str">
        <f t="shared" si="16"/>
        <v/>
      </c>
      <c r="O78" s="76">
        <v>0</v>
      </c>
      <c r="P78" s="76" t="str">
        <f t="shared" si="17"/>
        <v/>
      </c>
      <c r="Q78" s="78">
        <v>0.27500000000000002</v>
      </c>
      <c r="R78" s="79">
        <f t="shared" si="18"/>
        <v>11.979000000000001</v>
      </c>
      <c r="S78" s="79" t="str">
        <f>IF(AND(TRIM(R78)&lt;&gt;"",TRIM(G78)&lt;&gt;""),(G78*8.115365448432)/R78,"")</f>
        <v/>
      </c>
      <c r="T78" s="80" t="str">
        <f t="shared" ca="1" si="23"/>
        <v/>
      </c>
      <c r="U78" s="80" t="str">
        <f t="shared" si="19"/>
        <v/>
      </c>
      <c r="V78" s="80"/>
      <c r="W78" s="80"/>
      <c r="X78" s="80"/>
      <c r="Y78" s="80"/>
      <c r="Z78" s="80"/>
      <c r="AA78" s="80" t="str">
        <f t="shared" si="20"/>
        <v/>
      </c>
      <c r="AB78" s="80"/>
      <c r="AC78" s="80"/>
      <c r="AD78" s="80"/>
      <c r="AE78" s="80">
        <v>1</v>
      </c>
      <c r="AF78" s="76">
        <f t="shared" si="21"/>
        <v>0</v>
      </c>
      <c r="AG78" s="74"/>
      <c r="AI78" s="111" t="s">
        <v>118</v>
      </c>
      <c r="AJ78" s="111"/>
      <c r="AK78" s="112"/>
      <c r="AL78" s="111"/>
      <c r="AM78" s="113"/>
      <c r="AN78" s="127"/>
    </row>
    <row r="79" spans="1:40" ht="16.5" customHeight="1" x14ac:dyDescent="0.3">
      <c r="A79" s="13"/>
      <c r="B79" s="73"/>
      <c r="C79" s="73"/>
      <c r="D79" s="74" t="s">
        <v>192</v>
      </c>
      <c r="E79" s="74" t="s">
        <v>189</v>
      </c>
      <c r="F79" s="74" t="s">
        <v>193</v>
      </c>
      <c r="G79" s="75"/>
      <c r="H79" s="76" t="str">
        <f t="shared" si="22"/>
        <v/>
      </c>
      <c r="I79" s="76" t="str">
        <f t="shared" si="13"/>
        <v/>
      </c>
      <c r="J79" s="185"/>
      <c r="K79" s="76" t="str">
        <f t="shared" si="14"/>
        <v/>
      </c>
      <c r="L79" s="77">
        <f t="shared" ca="1" si="15"/>
        <v>0</v>
      </c>
      <c r="M79" s="76" t="str">
        <f t="shared" si="24"/>
        <v/>
      </c>
      <c r="N79" s="76" t="str">
        <f t="shared" si="16"/>
        <v/>
      </c>
      <c r="O79" s="76">
        <v>0</v>
      </c>
      <c r="P79" s="76" t="str">
        <f t="shared" si="17"/>
        <v/>
      </c>
      <c r="Q79" s="78">
        <v>0.27500000000000002</v>
      </c>
      <c r="R79" s="79">
        <f t="shared" si="18"/>
        <v>11.979000000000001</v>
      </c>
      <c r="S79" s="79" t="str">
        <f>IF(AND(TRIM(R79)&lt;&gt;"",TRIM(G79)&lt;&gt;""),(G79*30.43262043162)/R79,"")</f>
        <v/>
      </c>
      <c r="T79" s="80" t="str">
        <f t="shared" ca="1" si="23"/>
        <v/>
      </c>
      <c r="U79" s="80" t="str">
        <f t="shared" si="19"/>
        <v/>
      </c>
      <c r="V79" s="80"/>
      <c r="W79" s="80"/>
      <c r="X79" s="80"/>
      <c r="Y79" s="80"/>
      <c r="Z79" s="80"/>
      <c r="AA79" s="80" t="str">
        <f t="shared" si="20"/>
        <v/>
      </c>
      <c r="AB79" s="80"/>
      <c r="AC79" s="80"/>
      <c r="AD79" s="80"/>
      <c r="AE79" s="80">
        <v>1</v>
      </c>
      <c r="AF79" s="76">
        <f t="shared" si="21"/>
        <v>0</v>
      </c>
      <c r="AG79" s="74"/>
      <c r="AI79" s="111"/>
      <c r="AJ79" s="111"/>
      <c r="AK79" s="112"/>
      <c r="AL79" s="111"/>
      <c r="AM79" s="113"/>
      <c r="AN79" s="127"/>
    </row>
    <row r="80" spans="1:40" ht="16.5" customHeight="1" x14ac:dyDescent="0.3">
      <c r="A80" s="13"/>
      <c r="B80" s="73"/>
      <c r="C80" s="73"/>
      <c r="D80" s="74" t="s">
        <v>194</v>
      </c>
      <c r="E80" s="74" t="s">
        <v>195</v>
      </c>
      <c r="F80" s="74" t="s">
        <v>196</v>
      </c>
      <c r="G80" s="75"/>
      <c r="H80" s="76" t="str">
        <f t="shared" si="22"/>
        <v/>
      </c>
      <c r="I80" s="76" t="str">
        <f t="shared" si="13"/>
        <v/>
      </c>
      <c r="J80" s="185"/>
      <c r="K80" s="76" t="str">
        <f t="shared" si="14"/>
        <v/>
      </c>
      <c r="L80" s="77">
        <f t="shared" ca="1" si="15"/>
        <v>0</v>
      </c>
      <c r="M80" s="76" t="str">
        <f t="shared" si="24"/>
        <v/>
      </c>
      <c r="N80" s="76" t="str">
        <f t="shared" si="16"/>
        <v/>
      </c>
      <c r="O80" s="76">
        <v>0</v>
      </c>
      <c r="P80" s="76" t="str">
        <f t="shared" si="17"/>
        <v/>
      </c>
      <c r="Q80" s="78">
        <v>0.35399999999999998</v>
      </c>
      <c r="R80" s="79">
        <f t="shared" si="18"/>
        <v>15.42024</v>
      </c>
      <c r="S80" s="79" t="str">
        <f>IF(AND(TRIM(R80)&lt;&gt;"",TRIM(G80)&lt;&gt;""),(G80*14.815063998)/R80,"")</f>
        <v/>
      </c>
      <c r="T80" s="80" t="str">
        <f t="shared" ca="1" si="23"/>
        <v/>
      </c>
      <c r="U80" s="80" t="str">
        <f t="shared" si="19"/>
        <v/>
      </c>
      <c r="V80" s="80"/>
      <c r="W80" s="80"/>
      <c r="X80" s="80"/>
      <c r="Y80" s="80"/>
      <c r="Z80" s="80"/>
      <c r="AA80" s="80" t="str">
        <f t="shared" si="20"/>
        <v/>
      </c>
      <c r="AB80" s="80"/>
      <c r="AC80" s="80"/>
      <c r="AD80" s="80"/>
      <c r="AE80" s="80">
        <v>1</v>
      </c>
      <c r="AF80" s="76">
        <f t="shared" si="21"/>
        <v>0</v>
      </c>
      <c r="AG80" s="74"/>
      <c r="AI80" s="116"/>
      <c r="AJ80" s="116"/>
      <c r="AK80" s="117"/>
      <c r="AL80" s="116"/>
      <c r="AM80" s="118"/>
      <c r="AN80" s="128"/>
    </row>
    <row r="81" spans="1:40" ht="16.5" customHeight="1" thickBot="1" x14ac:dyDescent="0.35">
      <c r="A81" s="13"/>
      <c r="B81" s="73"/>
      <c r="C81" s="73"/>
      <c r="D81" s="74" t="s">
        <v>197</v>
      </c>
      <c r="E81" s="74" t="s">
        <v>198</v>
      </c>
      <c r="F81" s="74" t="s">
        <v>199</v>
      </c>
      <c r="G81" s="75"/>
      <c r="H81" s="76" t="str">
        <f t="shared" si="22"/>
        <v/>
      </c>
      <c r="I81" s="76" t="str">
        <f t="shared" si="13"/>
        <v/>
      </c>
      <c r="J81" s="185"/>
      <c r="K81" s="76" t="str">
        <f t="shared" si="14"/>
        <v/>
      </c>
      <c r="L81" s="77">
        <f t="shared" ca="1" si="15"/>
        <v>0</v>
      </c>
      <c r="M81" s="76" t="str">
        <f t="shared" si="24"/>
        <v/>
      </c>
      <c r="N81" s="76" t="str">
        <f t="shared" si="16"/>
        <v/>
      </c>
      <c r="O81" s="76">
        <v>0</v>
      </c>
      <c r="P81" s="76" t="str">
        <f t="shared" si="17"/>
        <v/>
      </c>
      <c r="Q81" s="78">
        <v>0.35199999999999998</v>
      </c>
      <c r="R81" s="79">
        <f t="shared" si="18"/>
        <v>15.333119999999999</v>
      </c>
      <c r="S81" s="79" t="str">
        <f>IF(AND(TRIM(R81)&lt;&gt;"",TRIM(G81)&lt;&gt;""),(G81*14.10958476)/R81,"")</f>
        <v/>
      </c>
      <c r="T81" s="80" t="str">
        <f t="shared" ca="1" si="23"/>
        <v/>
      </c>
      <c r="U81" s="80" t="str">
        <f t="shared" si="19"/>
        <v/>
      </c>
      <c r="V81" s="80"/>
      <c r="W81" s="80"/>
      <c r="X81" s="80"/>
      <c r="Y81" s="80"/>
      <c r="Z81" s="80"/>
      <c r="AA81" s="80" t="str">
        <f t="shared" si="20"/>
        <v/>
      </c>
      <c r="AB81" s="80"/>
      <c r="AC81" s="80"/>
      <c r="AD81" s="80"/>
      <c r="AE81" s="80">
        <v>1</v>
      </c>
      <c r="AF81" s="76">
        <f t="shared" si="21"/>
        <v>0</v>
      </c>
      <c r="AG81" s="74"/>
      <c r="AI81" s="116"/>
      <c r="AJ81" s="116"/>
      <c r="AK81" s="117"/>
      <c r="AL81" s="116"/>
      <c r="AM81" s="118"/>
      <c r="AN81" s="128"/>
    </row>
    <row r="82" spans="1:40" ht="16.5" customHeight="1" thickTop="1" x14ac:dyDescent="0.3">
      <c r="A82" s="13"/>
      <c r="B82" s="73"/>
      <c r="C82" s="73">
        <v>1</v>
      </c>
      <c r="D82" s="74" t="s">
        <v>200</v>
      </c>
      <c r="E82" s="74" t="s">
        <v>201</v>
      </c>
      <c r="F82" s="74" t="s">
        <v>126</v>
      </c>
      <c r="G82" s="125"/>
      <c r="H82" s="76" t="str">
        <f t="shared" si="22"/>
        <v/>
      </c>
      <c r="I82" s="76" t="str">
        <f t="shared" si="13"/>
        <v/>
      </c>
      <c r="J82" s="185"/>
      <c r="K82" s="76" t="str">
        <f>IF(G82*J82= 0,"",G82*J82)</f>
        <v/>
      </c>
      <c r="L82" s="77">
        <f ca="1">IF(AND(AE82 &lt;&gt; "", SUM(T82:AD82) &lt;= AE82), SUM(T82:AD82), AE82)</f>
        <v>0</v>
      </c>
      <c r="M82" s="76" t="str">
        <f>IF(G82 ="","",G82*L82*O82)</f>
        <v/>
      </c>
      <c r="N82" s="76" t="str">
        <f>IF(AND(G82&lt;&gt;"",G82&gt;0),((K82/G82)-(M82/G82)),"")</f>
        <v/>
      </c>
      <c r="O82" s="76">
        <v>74.25</v>
      </c>
      <c r="P82" s="76" t="str">
        <f>IF(AND(G82&lt;&gt;"",G82&gt;0), G82*N82,"")</f>
        <v/>
      </c>
      <c r="Q82" s="78">
        <v>2</v>
      </c>
      <c r="R82" s="79">
        <f>Q82*43.56</f>
        <v>87.12</v>
      </c>
      <c r="S82" s="79" t="str">
        <f>IF(AND(TRIM(R82)&lt;&gt;"",TRIM(G82)&lt;&gt;""),(G82*50)/R82,"")</f>
        <v/>
      </c>
      <c r="T82" s="80" t="str">
        <f ca="1">IF(AND(G82 &lt;&gt;"",G82&gt;0), IFERROR(VLOOKUP(G82,INDIRECT(AG82),3,TRUE),0), "")</f>
        <v/>
      </c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>
        <v>1</v>
      </c>
      <c r="AF82" s="76">
        <f>IF(G82 = "",0,O82*G82)</f>
        <v>0</v>
      </c>
      <c r="AG82" s="74"/>
      <c r="AI82" s="121"/>
      <c r="AJ82" s="121"/>
      <c r="AK82" s="122"/>
      <c r="AL82" s="121"/>
      <c r="AM82" s="123"/>
      <c r="AN82" s="129"/>
    </row>
    <row r="83" spans="1:40" ht="16.5" customHeight="1" x14ac:dyDescent="0.3">
      <c r="A83" s="13"/>
      <c r="B83" s="143"/>
      <c r="C83" s="143"/>
      <c r="D83" s="143"/>
      <c r="E83" s="143"/>
      <c r="F83" s="143"/>
      <c r="G83" s="144">
        <f>SUM(G19:G53,G57:G82)</f>
        <v>0</v>
      </c>
      <c r="H83" s="145"/>
      <c r="I83" s="145">
        <f>SUM(I19:I53,I57:I82)</f>
        <v>0</v>
      </c>
      <c r="J83" s="145"/>
      <c r="K83" s="145">
        <f>SUM(K19:K53,K57:K82)</f>
        <v>0</v>
      </c>
      <c r="L83" s="146"/>
      <c r="M83" s="145">
        <f>SUM(M19:M53,M57:M82)</f>
        <v>0</v>
      </c>
      <c r="N83" s="145"/>
      <c r="O83" s="145"/>
      <c r="P83" s="145">
        <f>SUM(P19:P53,P57:P82)</f>
        <v>0</v>
      </c>
      <c r="Q83" s="147"/>
      <c r="R83" s="148"/>
      <c r="S83" s="148">
        <v>0</v>
      </c>
      <c r="T83" s="147"/>
      <c r="U83" s="147"/>
      <c r="V83" s="147"/>
      <c r="W83" s="147"/>
      <c r="X83" s="147"/>
      <c r="Y83" s="147"/>
      <c r="Z83" s="147"/>
      <c r="AA83" s="147" t="str">
        <f>IF(VLOOKUP(7, Rebates!$B$4:$D$14, 3, FALSE) = 0, "", IF(AF83="",0,IF(ISNA(VLOOKUP(AF83,Rebates!$M$4:$P$9,3,1)),"", VLOOKUP(AF83,Rebates!$M$4:$P$9,3,1))))</f>
        <v/>
      </c>
      <c r="AB83" s="147"/>
      <c r="AC83" s="147"/>
      <c r="AD83" s="147"/>
      <c r="AE83" s="147"/>
      <c r="AF83" s="145">
        <f>SUM(AF19:AF53,AF57:AF82)</f>
        <v>0</v>
      </c>
      <c r="AG83" s="143"/>
      <c r="AI83" s="130" t="s">
        <v>62</v>
      </c>
      <c r="AJ83" s="94" t="s">
        <v>21</v>
      </c>
      <c r="AK83" s="95" t="s">
        <v>22</v>
      </c>
      <c r="AL83" s="94" t="s">
        <v>63</v>
      </c>
      <c r="AM83" s="96" t="s">
        <v>31</v>
      </c>
      <c r="AN83" s="131" t="s">
        <v>64</v>
      </c>
    </row>
    <row r="84" spans="1:40" ht="17" customHeight="1" x14ac:dyDescent="0.3">
      <c r="AI84" s="132" t="s">
        <v>132</v>
      </c>
      <c r="AJ84" s="133" t="s">
        <v>116</v>
      </c>
      <c r="AK84" s="98">
        <v>2</v>
      </c>
      <c r="AL84" s="73" t="s">
        <v>73</v>
      </c>
      <c r="AM84" s="99">
        <v>0.13800000000000001</v>
      </c>
      <c r="AN84" s="100">
        <f>(AK84*127.999939675621)/(AM84*43.56)</f>
        <v>42.586583781031983</v>
      </c>
    </row>
    <row r="85" spans="1:40" ht="17" customHeight="1" thickBot="1" x14ac:dyDescent="0.35">
      <c r="C85" s="46" t="s">
        <v>203</v>
      </c>
      <c r="D85" s="46"/>
      <c r="E85" s="46"/>
      <c r="F85" s="46"/>
      <c r="H85" s="149" t="s">
        <v>204</v>
      </c>
      <c r="I85" s="149"/>
      <c r="J85" s="149"/>
      <c r="K85" s="149"/>
      <c r="L85" s="149"/>
      <c r="M85" s="149"/>
      <c r="N85" s="149"/>
      <c r="O85" s="149"/>
      <c r="P85" s="149"/>
      <c r="Q85" s="149"/>
      <c r="R85" s="12"/>
      <c r="S85" s="12"/>
      <c r="AB85" s="10"/>
      <c r="AC85" s="8"/>
      <c r="AD85" s="8"/>
      <c r="AE85" s="8"/>
      <c r="AF85" s="8"/>
      <c r="AI85" s="132" t="s">
        <v>136</v>
      </c>
      <c r="AJ85" s="133" t="s">
        <v>135</v>
      </c>
      <c r="AK85" s="98">
        <v>6</v>
      </c>
      <c r="AL85" s="73" t="s">
        <v>137</v>
      </c>
      <c r="AM85" s="99">
        <v>2.3E-2</v>
      </c>
      <c r="AN85" s="100">
        <f>(AK85*6)/(AM85*43.56)</f>
        <v>35.932446999640675</v>
      </c>
    </row>
    <row r="86" spans="1:40" ht="24.5" customHeight="1" thickTop="1" thickBot="1" x14ac:dyDescent="0.35">
      <c r="C86" s="46"/>
      <c r="D86" s="46"/>
      <c r="E86" s="46"/>
      <c r="F86" s="46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2"/>
      <c r="S86" s="12"/>
      <c r="AB86" s="10"/>
      <c r="AC86" s="8"/>
      <c r="AD86" s="8"/>
      <c r="AE86" s="8"/>
      <c r="AF86" s="8"/>
      <c r="AI86" s="130" t="s">
        <v>77</v>
      </c>
      <c r="AJ86" s="94" t="s">
        <v>21</v>
      </c>
      <c r="AK86" s="95" t="s">
        <v>22</v>
      </c>
      <c r="AL86" s="94" t="s">
        <v>63</v>
      </c>
      <c r="AM86" s="96" t="s">
        <v>31</v>
      </c>
      <c r="AN86" s="131" t="s">
        <v>64</v>
      </c>
    </row>
    <row r="87" spans="1:40" ht="13.5" customHeight="1" thickTop="1" thickBot="1" x14ac:dyDescent="0.35">
      <c r="C87" s="150" t="s">
        <v>205</v>
      </c>
      <c r="D87" s="150"/>
      <c r="E87" s="150"/>
      <c r="F87" s="150"/>
      <c r="H87" s="151" t="s">
        <v>206</v>
      </c>
      <c r="I87" s="151"/>
      <c r="J87" s="151"/>
      <c r="K87" s="151"/>
      <c r="L87" s="151"/>
      <c r="M87" s="151"/>
      <c r="N87" s="151"/>
      <c r="O87" s="151"/>
      <c r="P87" s="151"/>
      <c r="Q87" s="151"/>
      <c r="R87" s="12"/>
      <c r="S87" s="12"/>
      <c r="AB87" s="10"/>
      <c r="AC87" s="8"/>
      <c r="AD87" s="8"/>
      <c r="AE87" s="8"/>
      <c r="AF87" s="8"/>
      <c r="AI87" s="192" t="s">
        <v>81</v>
      </c>
      <c r="AJ87" s="192"/>
      <c r="AK87" s="193"/>
      <c r="AL87" s="192"/>
      <c r="AM87" s="194"/>
      <c r="AN87" s="195"/>
    </row>
    <row r="88" spans="1:40" ht="25" customHeight="1" thickTop="1" thickBot="1" x14ac:dyDescent="0.35">
      <c r="C88" s="150"/>
      <c r="D88" s="150"/>
      <c r="E88" s="150"/>
      <c r="F88" s="150"/>
      <c r="H88" s="152"/>
      <c r="I88" s="152"/>
      <c r="J88" s="152"/>
      <c r="K88" s="152"/>
      <c r="L88" s="153"/>
      <c r="M88" s="153"/>
      <c r="N88" s="153"/>
      <c r="O88" s="153"/>
      <c r="P88" s="153"/>
      <c r="Q88" s="153"/>
      <c r="R88" s="12"/>
      <c r="S88" s="12"/>
      <c r="AB88" s="10"/>
      <c r="AC88" s="8"/>
      <c r="AD88" s="8"/>
      <c r="AE88" s="8"/>
      <c r="AF88" s="8"/>
      <c r="AG88" s="9"/>
    </row>
    <row r="89" spans="1:40" ht="14" customHeight="1" thickTop="1" thickBot="1" x14ac:dyDescent="0.35">
      <c r="C89" s="150"/>
      <c r="D89" s="150"/>
      <c r="E89" s="150"/>
      <c r="F89" s="150"/>
      <c r="H89" s="157"/>
      <c r="I89" s="158"/>
      <c r="J89" s="159"/>
      <c r="K89" s="160" t="s">
        <v>209</v>
      </c>
      <c r="L89" s="160"/>
      <c r="M89" s="160"/>
      <c r="N89" s="160"/>
      <c r="O89" s="161"/>
      <c r="P89" s="162"/>
      <c r="Q89" s="162"/>
      <c r="R89" s="12"/>
      <c r="S89" s="12"/>
      <c r="AB89" s="10"/>
      <c r="AC89" s="8"/>
      <c r="AD89" s="8"/>
      <c r="AE89" s="8"/>
      <c r="AF89" s="8"/>
      <c r="AG89" s="9"/>
    </row>
    <row r="90" spans="1:40" ht="22" customHeight="1" x14ac:dyDescent="0.3">
      <c r="C90" s="154" t="s">
        <v>208</v>
      </c>
      <c r="D90" s="155"/>
      <c r="E90" s="155"/>
      <c r="F90" s="156">
        <f>I83</f>
        <v>0</v>
      </c>
      <c r="H90" s="157"/>
      <c r="I90" s="158"/>
      <c r="J90" s="152"/>
      <c r="K90" s="166" t="s">
        <v>213</v>
      </c>
      <c r="L90" s="167"/>
      <c r="M90" s="167"/>
      <c r="N90" s="168"/>
      <c r="O90" s="158"/>
      <c r="P90" s="158"/>
      <c r="Q90" s="162"/>
      <c r="AI90" s="111" t="s">
        <v>142</v>
      </c>
      <c r="AJ90" s="111"/>
      <c r="AK90" s="112"/>
      <c r="AL90" s="111"/>
      <c r="AM90" s="113"/>
      <c r="AN90" s="127"/>
    </row>
    <row r="91" spans="1:40" ht="21.5" customHeight="1" thickBot="1" x14ac:dyDescent="0.35">
      <c r="C91" s="163" t="s">
        <v>212</v>
      </c>
      <c r="D91" s="164"/>
      <c r="E91" s="164"/>
      <c r="F91" s="165">
        <f>SUM(I83-K83)</f>
        <v>0</v>
      </c>
      <c r="H91" s="157"/>
      <c r="I91" s="152"/>
      <c r="J91" s="152"/>
      <c r="K91" s="169"/>
      <c r="L91" s="170"/>
      <c r="M91" s="170"/>
      <c r="N91" s="171"/>
      <c r="O91" s="158"/>
      <c r="P91" s="158"/>
      <c r="Q91" s="162"/>
      <c r="AI91" s="111"/>
      <c r="AJ91" s="111"/>
      <c r="AK91" s="112"/>
      <c r="AL91" s="111"/>
      <c r="AM91" s="113"/>
      <c r="AN91" s="127"/>
    </row>
    <row r="92" spans="1:40" ht="21" customHeight="1" x14ac:dyDescent="0.3">
      <c r="C92" s="154" t="s">
        <v>214</v>
      </c>
      <c r="D92" s="155"/>
      <c r="E92" s="155"/>
      <c r="F92" s="156">
        <f>K83</f>
        <v>0</v>
      </c>
      <c r="H92" s="158"/>
      <c r="I92" s="175"/>
      <c r="J92" s="176" t="s">
        <v>216</v>
      </c>
      <c r="K92" s="176"/>
      <c r="L92" s="176"/>
      <c r="M92" s="176"/>
      <c r="N92" s="176"/>
      <c r="O92" s="176"/>
      <c r="P92" s="176"/>
      <c r="Q92" s="176"/>
      <c r="AI92" s="116"/>
      <c r="AJ92" s="116"/>
      <c r="AK92" s="117"/>
      <c r="AL92" s="116"/>
      <c r="AM92" s="118"/>
      <c r="AN92" s="128"/>
    </row>
    <row r="93" spans="1:40" ht="21" customHeight="1" thickBot="1" x14ac:dyDescent="0.35">
      <c r="C93" s="163" t="s">
        <v>215</v>
      </c>
      <c r="D93" s="164"/>
      <c r="E93" s="164"/>
      <c r="F93" s="165">
        <f>M83</f>
        <v>0</v>
      </c>
      <c r="H93" s="175"/>
      <c r="I93" s="175"/>
      <c r="J93" s="176"/>
      <c r="K93" s="176"/>
      <c r="L93" s="176"/>
      <c r="M93" s="176"/>
      <c r="N93" s="176"/>
      <c r="O93" s="176"/>
      <c r="P93" s="176"/>
      <c r="Q93" s="176"/>
      <c r="AI93" s="116"/>
      <c r="AJ93" s="116"/>
      <c r="AK93" s="117"/>
      <c r="AL93" s="116"/>
      <c r="AM93" s="118"/>
      <c r="AN93" s="128"/>
    </row>
    <row r="94" spans="1:40" ht="13.5" thickTop="1" x14ac:dyDescent="0.3">
      <c r="C94" s="154" t="s">
        <v>217</v>
      </c>
      <c r="D94" s="155"/>
      <c r="E94" s="155"/>
      <c r="F94" s="156">
        <f>P83</f>
        <v>0</v>
      </c>
      <c r="H94" s="175"/>
      <c r="I94" s="175"/>
      <c r="J94" s="176"/>
      <c r="K94" s="176"/>
      <c r="L94" s="176"/>
      <c r="M94" s="176"/>
      <c r="N94" s="176"/>
      <c r="O94" s="176"/>
      <c r="P94" s="176"/>
      <c r="Q94" s="176"/>
      <c r="AI94" s="121"/>
      <c r="AJ94" s="121"/>
      <c r="AK94" s="122"/>
      <c r="AL94" s="121"/>
      <c r="AM94" s="123"/>
      <c r="AN94" s="129"/>
    </row>
    <row r="95" spans="1:40" x14ac:dyDescent="0.3">
      <c r="C95" s="163" t="s">
        <v>218</v>
      </c>
      <c r="D95" s="164"/>
      <c r="E95" s="164"/>
      <c r="F95" s="177">
        <f>IF(AND(K83 &lt;&gt;"", K83 &gt; 0), SUM(M83/K83),0)</f>
        <v>0</v>
      </c>
      <c r="H95" s="175"/>
      <c r="I95" s="175"/>
      <c r="J95" s="176"/>
      <c r="K95" s="176"/>
      <c r="L95" s="176"/>
      <c r="M95" s="176"/>
      <c r="N95" s="176"/>
      <c r="O95" s="176"/>
      <c r="P95" s="176"/>
      <c r="Q95" s="176"/>
      <c r="AI95" s="130" t="s">
        <v>62</v>
      </c>
      <c r="AJ95" s="94" t="s">
        <v>21</v>
      </c>
      <c r="AK95" s="95" t="s">
        <v>22</v>
      </c>
      <c r="AL95" s="94" t="s">
        <v>63</v>
      </c>
      <c r="AM95" s="96" t="s">
        <v>31</v>
      </c>
      <c r="AN95" s="131" t="s">
        <v>64</v>
      </c>
    </row>
    <row r="96" spans="1:40" ht="17" customHeight="1" x14ac:dyDescent="0.3">
      <c r="C96" s="154" t="s">
        <v>219</v>
      </c>
      <c r="D96" s="155"/>
      <c r="E96" s="155"/>
      <c r="F96" s="178">
        <f>IF(AND(F90 &lt;&gt; "", F90 &gt; 0), ((F90 - F92) + F93)/F90,0)</f>
        <v>0</v>
      </c>
      <c r="H96" s="175"/>
      <c r="I96" s="175"/>
      <c r="J96" s="176"/>
      <c r="K96" s="176"/>
      <c r="L96" s="176"/>
      <c r="M96" s="176"/>
      <c r="N96" s="176"/>
      <c r="O96" s="176"/>
      <c r="P96" s="176"/>
      <c r="Q96" s="176"/>
      <c r="AI96" s="132" t="s">
        <v>155</v>
      </c>
      <c r="AJ96" s="133" t="s">
        <v>52</v>
      </c>
      <c r="AK96" s="98">
        <v>4</v>
      </c>
      <c r="AL96" s="73" t="s">
        <v>156</v>
      </c>
      <c r="AM96" s="99">
        <v>2</v>
      </c>
      <c r="AN96" s="100">
        <f>(AK96*319.999849189052)/(AM96*43.56)</f>
        <v>14.692371404456013</v>
      </c>
    </row>
    <row r="97" spans="3:40" ht="17" customHeight="1" x14ac:dyDescent="0.3">
      <c r="C97" s="179" t="str">
        <f>CONCATENATE("Estimated MBR points to be earned in the Product Cart: ",TEXT(IF(AND(F93 &lt;&gt;"", F93 &gt; 0),F93*100, 0),"#,##0"))</f>
        <v>Estimated MBR points to be earned in the Product Cart: 0</v>
      </c>
      <c r="D97" s="179"/>
      <c r="E97" s="179"/>
      <c r="F97" s="179"/>
      <c r="AI97" s="132" t="s">
        <v>160</v>
      </c>
      <c r="AJ97" s="133" t="s">
        <v>67</v>
      </c>
      <c r="AK97" s="98">
        <v>3</v>
      </c>
      <c r="AL97" s="73" t="s">
        <v>161</v>
      </c>
      <c r="AM97" s="99">
        <v>4</v>
      </c>
      <c r="AN97" s="100">
        <f>(AK97*703.999999010471)/(AM97*43.56)</f>
        <v>12.121212104174775</v>
      </c>
    </row>
    <row r="98" spans="3:40" x14ac:dyDescent="0.3">
      <c r="AI98" s="130" t="s">
        <v>77</v>
      </c>
      <c r="AJ98" s="94" t="s">
        <v>21</v>
      </c>
      <c r="AK98" s="95" t="s">
        <v>22</v>
      </c>
      <c r="AL98" s="94" t="s">
        <v>63</v>
      </c>
      <c r="AM98" s="96" t="s">
        <v>31</v>
      </c>
      <c r="AN98" s="131" t="s">
        <v>64</v>
      </c>
    </row>
    <row r="99" spans="3:40" x14ac:dyDescent="0.3">
      <c r="AI99" s="192" t="s">
        <v>81</v>
      </c>
      <c r="AJ99" s="192"/>
      <c r="AK99" s="193"/>
      <c r="AL99" s="192"/>
      <c r="AM99" s="194"/>
      <c r="AN99" s="195"/>
    </row>
    <row r="102" spans="3:40" x14ac:dyDescent="0.3">
      <c r="AI102" s="111" t="s">
        <v>175</v>
      </c>
      <c r="AJ102" s="111"/>
      <c r="AK102" s="112"/>
      <c r="AL102" s="111"/>
      <c r="AM102" s="113"/>
      <c r="AN102" s="127"/>
    </row>
    <row r="103" spans="3:40" x14ac:dyDescent="0.3">
      <c r="AI103" s="111"/>
      <c r="AJ103" s="111"/>
      <c r="AK103" s="112"/>
      <c r="AL103" s="111"/>
      <c r="AM103" s="113"/>
      <c r="AN103" s="127"/>
    </row>
    <row r="104" spans="3:40" x14ac:dyDescent="0.3">
      <c r="AI104" s="116"/>
      <c r="AJ104" s="116"/>
      <c r="AK104" s="117"/>
      <c r="AL104" s="116"/>
      <c r="AM104" s="118"/>
      <c r="AN104" s="128"/>
    </row>
    <row r="105" spans="3:40" ht="13.5" thickBot="1" x14ac:dyDescent="0.35">
      <c r="AI105" s="116"/>
      <c r="AJ105" s="116"/>
      <c r="AK105" s="117"/>
      <c r="AL105" s="116"/>
      <c r="AM105" s="118"/>
      <c r="AN105" s="128"/>
    </row>
    <row r="106" spans="3:40" ht="13.5" thickTop="1" x14ac:dyDescent="0.3">
      <c r="AI106" s="121"/>
      <c r="AJ106" s="121"/>
      <c r="AK106" s="122"/>
      <c r="AL106" s="121"/>
      <c r="AM106" s="123"/>
      <c r="AN106" s="129"/>
    </row>
    <row r="107" spans="3:40" x14ac:dyDescent="0.3">
      <c r="AI107" s="130" t="s">
        <v>62</v>
      </c>
      <c r="AJ107" s="94" t="s">
        <v>21</v>
      </c>
      <c r="AK107" s="95" t="s">
        <v>22</v>
      </c>
      <c r="AL107" s="94" t="s">
        <v>63</v>
      </c>
      <c r="AM107" s="96" t="s">
        <v>31</v>
      </c>
      <c r="AN107" s="131" t="s">
        <v>64</v>
      </c>
    </row>
    <row r="108" spans="3:40" ht="17" customHeight="1" x14ac:dyDescent="0.3">
      <c r="AI108" s="132" t="s">
        <v>155</v>
      </c>
      <c r="AJ108" s="133" t="s">
        <v>52</v>
      </c>
      <c r="AK108" s="98">
        <v>4</v>
      </c>
      <c r="AL108" s="73" t="s">
        <v>156</v>
      </c>
      <c r="AM108" s="99">
        <v>2</v>
      </c>
      <c r="AN108" s="100">
        <f>(AK108*319.999849189052)/(AM108*43.56)</f>
        <v>14.692371404456013</v>
      </c>
    </row>
    <row r="109" spans="3:40" ht="17" customHeight="1" x14ac:dyDescent="0.3">
      <c r="AI109" s="132" t="s">
        <v>191</v>
      </c>
      <c r="AJ109" s="133" t="s">
        <v>111</v>
      </c>
      <c r="AK109" s="98">
        <v>24</v>
      </c>
      <c r="AL109" s="73" t="s">
        <v>161</v>
      </c>
      <c r="AM109" s="99">
        <v>4</v>
      </c>
      <c r="AN109" s="100">
        <f>(AK109*87.9999998763089)/(AM109*43.56)</f>
        <v>12.121212104174781</v>
      </c>
    </row>
    <row r="110" spans="3:40" x14ac:dyDescent="0.3">
      <c r="AI110" s="130" t="s">
        <v>77</v>
      </c>
      <c r="AJ110" s="94" t="s">
        <v>21</v>
      </c>
      <c r="AK110" s="95" t="s">
        <v>22</v>
      </c>
      <c r="AL110" s="94" t="s">
        <v>63</v>
      </c>
      <c r="AM110" s="96" t="s">
        <v>31</v>
      </c>
      <c r="AN110" s="131" t="s">
        <v>64</v>
      </c>
    </row>
    <row r="111" spans="3:40" x14ac:dyDescent="0.3">
      <c r="AI111" s="192" t="s">
        <v>81</v>
      </c>
      <c r="AJ111" s="192"/>
      <c r="AK111" s="193"/>
      <c r="AL111" s="192"/>
      <c r="AM111" s="194"/>
      <c r="AN111" s="195"/>
    </row>
    <row r="114" spans="35:40" x14ac:dyDescent="0.3">
      <c r="AI114" s="111" t="s">
        <v>202</v>
      </c>
      <c r="AJ114" s="111"/>
      <c r="AK114" s="112"/>
      <c r="AL114" s="111"/>
      <c r="AM114" s="113"/>
      <c r="AN114" s="127"/>
    </row>
    <row r="115" spans="35:40" x14ac:dyDescent="0.3">
      <c r="AI115" s="111"/>
      <c r="AJ115" s="111"/>
      <c r="AK115" s="112"/>
      <c r="AL115" s="111"/>
      <c r="AM115" s="113"/>
      <c r="AN115" s="127"/>
    </row>
    <row r="116" spans="35:40" x14ac:dyDescent="0.3">
      <c r="AI116" s="116"/>
      <c r="AJ116" s="116"/>
      <c r="AK116" s="117"/>
      <c r="AL116" s="116"/>
      <c r="AM116" s="118"/>
      <c r="AN116" s="128"/>
    </row>
    <row r="117" spans="35:40" ht="13.5" thickBot="1" x14ac:dyDescent="0.35">
      <c r="AI117" s="116"/>
      <c r="AJ117" s="116"/>
      <c r="AK117" s="117"/>
      <c r="AL117" s="116"/>
      <c r="AM117" s="118"/>
      <c r="AN117" s="128"/>
    </row>
    <row r="118" spans="35:40" ht="13.5" thickTop="1" x14ac:dyDescent="0.3">
      <c r="AI118" s="121"/>
      <c r="AJ118" s="121"/>
      <c r="AK118" s="122"/>
      <c r="AL118" s="121"/>
      <c r="AM118" s="123"/>
      <c r="AN118" s="129"/>
    </row>
    <row r="119" spans="35:40" x14ac:dyDescent="0.3">
      <c r="AI119" s="130" t="s">
        <v>62</v>
      </c>
      <c r="AJ119" s="94" t="s">
        <v>21</v>
      </c>
      <c r="AK119" s="95" t="s">
        <v>22</v>
      </c>
      <c r="AL119" s="94" t="s">
        <v>63</v>
      </c>
      <c r="AM119" s="96" t="s">
        <v>31</v>
      </c>
      <c r="AN119" s="131" t="s">
        <v>64</v>
      </c>
    </row>
    <row r="120" spans="35:40" ht="17" customHeight="1" x14ac:dyDescent="0.3">
      <c r="AI120" s="132" t="s">
        <v>207</v>
      </c>
      <c r="AJ120" s="133" t="s">
        <v>52</v>
      </c>
      <c r="AK120" s="98">
        <v>6</v>
      </c>
      <c r="AL120" s="73" t="s">
        <v>107</v>
      </c>
      <c r="AM120" s="99">
        <v>4</v>
      </c>
      <c r="AN120" s="100">
        <f>(AK120*319.999849189052)/(AM120*43.56)</f>
        <v>11.01927855334201</v>
      </c>
    </row>
    <row r="121" spans="35:40" ht="17" customHeight="1" x14ac:dyDescent="0.3">
      <c r="AI121" s="132" t="s">
        <v>210</v>
      </c>
      <c r="AJ121" s="133" t="s">
        <v>52</v>
      </c>
      <c r="AK121" s="98">
        <v>2</v>
      </c>
      <c r="AL121" s="73" t="s">
        <v>211</v>
      </c>
      <c r="AM121" s="99">
        <v>1</v>
      </c>
      <c r="AN121" s="100">
        <f>(AK121*319.999849189052)/(AM121*43.56)</f>
        <v>14.692371404456013</v>
      </c>
    </row>
    <row r="122" spans="35:40" x14ac:dyDescent="0.3">
      <c r="AI122" s="130" t="s">
        <v>77</v>
      </c>
      <c r="AJ122" s="94" t="s">
        <v>21</v>
      </c>
      <c r="AK122" s="95" t="s">
        <v>22</v>
      </c>
      <c r="AL122" s="94" t="s">
        <v>63</v>
      </c>
      <c r="AM122" s="96" t="s">
        <v>31</v>
      </c>
      <c r="AN122" s="131" t="s">
        <v>64</v>
      </c>
    </row>
    <row r="123" spans="35:40" x14ac:dyDescent="0.3">
      <c r="AI123" s="172" t="s">
        <v>81</v>
      </c>
      <c r="AJ123" s="173"/>
      <c r="AK123" s="173"/>
      <c r="AL123" s="173"/>
      <c r="AM123" s="173"/>
      <c r="AN123" s="174"/>
    </row>
    <row r="124" spans="35:40" x14ac:dyDescent="0.3">
      <c r="AI124" s="12"/>
      <c r="AJ124" s="13"/>
      <c r="AK124" s="8"/>
      <c r="AM124" s="8"/>
      <c r="AN124" s="8"/>
    </row>
  </sheetData>
  <sheetProtection algorithmName="SHA-512" hashValue="+hge+OprI4PprfyGRVuT/Fdx7cw0X2zzdGjY8VQ9EOC2aRTuVkEEg+oudLfgziXA6OeU6NWI+B76M9jNGgfhqA==" saltValue="PSTDIYQsD3HopQDIuMm1aQ==" spinCount="100000" sheet="1" objects="1" scenarios="1"/>
  <mergeCells count="130">
    <mergeCell ref="AI114:AN115"/>
    <mergeCell ref="AI116:AN117"/>
    <mergeCell ref="AI118:AN118"/>
    <mergeCell ref="AI123:AN123"/>
    <mergeCell ref="C97:F97"/>
    <mergeCell ref="AI99:AN99"/>
    <mergeCell ref="AI102:AN103"/>
    <mergeCell ref="AI104:AN105"/>
    <mergeCell ref="AI106:AN106"/>
    <mergeCell ref="AI111:AN111"/>
    <mergeCell ref="C92:E92"/>
    <mergeCell ref="J92:Q96"/>
    <mergeCell ref="AI92:AN93"/>
    <mergeCell ref="C93:E93"/>
    <mergeCell ref="C94:E94"/>
    <mergeCell ref="AI94:AN94"/>
    <mergeCell ref="C95:E95"/>
    <mergeCell ref="C96:E96"/>
    <mergeCell ref="C87:F89"/>
    <mergeCell ref="H87:Q87"/>
    <mergeCell ref="AI87:AN87"/>
    <mergeCell ref="K89:N89"/>
    <mergeCell ref="C90:E90"/>
    <mergeCell ref="K90:N91"/>
    <mergeCell ref="AI90:AN91"/>
    <mergeCell ref="C91:E91"/>
    <mergeCell ref="AI75:AN75"/>
    <mergeCell ref="AI78:AN79"/>
    <mergeCell ref="AI80:AN81"/>
    <mergeCell ref="AI82:AN82"/>
    <mergeCell ref="C85:F86"/>
    <mergeCell ref="H85:Q86"/>
    <mergeCell ref="AI56:AN57"/>
    <mergeCell ref="AI58:AN58"/>
    <mergeCell ref="AI63:AN63"/>
    <mergeCell ref="AI66:AN67"/>
    <mergeCell ref="AI68:AN69"/>
    <mergeCell ref="AI70:AN70"/>
    <mergeCell ref="AB55:AB57"/>
    <mergeCell ref="AC55:AC57"/>
    <mergeCell ref="AD55:AD57"/>
    <mergeCell ref="AE55:AE57"/>
    <mergeCell ref="AF55:AF57"/>
    <mergeCell ref="AG55:AG57"/>
    <mergeCell ref="V55:V57"/>
    <mergeCell ref="W55:W57"/>
    <mergeCell ref="X55:X57"/>
    <mergeCell ref="Y55:Y57"/>
    <mergeCell ref="Z55:Z57"/>
    <mergeCell ref="AA55:AA57"/>
    <mergeCell ref="P55:P57"/>
    <mergeCell ref="Q55:Q57"/>
    <mergeCell ref="R55:R57"/>
    <mergeCell ref="S55:S57"/>
    <mergeCell ref="T55:T57"/>
    <mergeCell ref="U55:U57"/>
    <mergeCell ref="J55:J57"/>
    <mergeCell ref="K55:K57"/>
    <mergeCell ref="L55:L57"/>
    <mergeCell ref="M55:M57"/>
    <mergeCell ref="N55:N57"/>
    <mergeCell ref="O55:O57"/>
    <mergeCell ref="B54:AG54"/>
    <mergeCell ref="AI54:AN55"/>
    <mergeCell ref="B55:B57"/>
    <mergeCell ref="C55:C57"/>
    <mergeCell ref="D55:D57"/>
    <mergeCell ref="E55:E57"/>
    <mergeCell ref="F55:F57"/>
    <mergeCell ref="G55:G57"/>
    <mergeCell ref="H55:H57"/>
    <mergeCell ref="I55:I57"/>
    <mergeCell ref="AI35:AN35"/>
    <mergeCell ref="AI40:AN40"/>
    <mergeCell ref="AI42:AN43"/>
    <mergeCell ref="AI44:AN45"/>
    <mergeCell ref="AI46:AN46"/>
    <mergeCell ref="AI51:AN51"/>
    <mergeCell ref="AI20:AN21"/>
    <mergeCell ref="AI22:AN23"/>
    <mergeCell ref="AI24:AN24"/>
    <mergeCell ref="AI29:AN29"/>
    <mergeCell ref="AI31:AN32"/>
    <mergeCell ref="AI33:AN34"/>
    <mergeCell ref="AB18:AB20"/>
    <mergeCell ref="AC18:AC20"/>
    <mergeCell ref="AD18:AD20"/>
    <mergeCell ref="AE18:AE20"/>
    <mergeCell ref="AF18:AF20"/>
    <mergeCell ref="AG18:AG20"/>
    <mergeCell ref="V18:V20"/>
    <mergeCell ref="W18:W20"/>
    <mergeCell ref="X18:X20"/>
    <mergeCell ref="Y18:Y20"/>
    <mergeCell ref="Z18:Z20"/>
    <mergeCell ref="AA18:AA20"/>
    <mergeCell ref="P18:P20"/>
    <mergeCell ref="Q18:Q20"/>
    <mergeCell ref="R18:R20"/>
    <mergeCell ref="S18:S20"/>
    <mergeCell ref="T18:T20"/>
    <mergeCell ref="U18:U20"/>
    <mergeCell ref="J18:J20"/>
    <mergeCell ref="K18:K20"/>
    <mergeCell ref="L18:L20"/>
    <mergeCell ref="M18:M20"/>
    <mergeCell ref="N18:N20"/>
    <mergeCell ref="O18:O20"/>
    <mergeCell ref="AH16:AM16"/>
    <mergeCell ref="B17:AG17"/>
    <mergeCell ref="B18:B20"/>
    <mergeCell ref="C18:C20"/>
    <mergeCell ref="D18:D20"/>
    <mergeCell ref="E18:E20"/>
    <mergeCell ref="F18:F20"/>
    <mergeCell ref="G18:G20"/>
    <mergeCell ref="H18:H20"/>
    <mergeCell ref="I18:I20"/>
    <mergeCell ref="B8:E8"/>
    <mergeCell ref="B9:E9"/>
    <mergeCell ref="B10:E10"/>
    <mergeCell ref="B11:E11"/>
    <mergeCell ref="B14:E15"/>
    <mergeCell ref="AH14:AM15"/>
    <mergeCell ref="C1:E1"/>
    <mergeCell ref="F1:S1"/>
    <mergeCell ref="B3:E4"/>
    <mergeCell ref="K3:Q3"/>
    <mergeCell ref="B5:E6"/>
    <mergeCell ref="B7:E7"/>
  </mergeCells>
  <conditionalFormatting sqref="C21:C23 C25:C53 B58:C82">
    <cfRule type="iconSet" priority="8">
      <iconSet iconSet="3Flags" showValue="0">
        <cfvo type="num" val="-1"/>
        <cfvo type="num" val="0"/>
        <cfvo type="num" val="1"/>
      </iconSet>
    </cfRule>
  </conditionalFormatting>
  <conditionalFormatting sqref="C24">
    <cfRule type="iconSet" priority="7">
      <iconSet iconSet="3Flags" showValue="0">
        <cfvo type="num" val="-1"/>
        <cfvo type="num" val="0"/>
        <cfvo type="num" val="1"/>
      </iconSet>
    </cfRule>
  </conditionalFormatting>
  <conditionalFormatting sqref="B21:B23 B25:B53">
    <cfRule type="iconSet" priority="6">
      <iconSet iconSet="3Flags" showValue="0">
        <cfvo type="num" val="-1"/>
        <cfvo type="num" val="0"/>
        <cfvo type="num" val="1"/>
      </iconSet>
    </cfRule>
  </conditionalFormatting>
  <conditionalFormatting sqref="B24">
    <cfRule type="iconSet" priority="5">
      <iconSet iconSet="3Flags" showValue="0">
        <cfvo type="num" val="-1"/>
        <cfvo type="num" val="0"/>
        <cfvo type="num" val="1"/>
      </iconSet>
    </cfRule>
  </conditionalFormatting>
  <conditionalFormatting sqref="C19:C20">
    <cfRule type="iconSet" priority="4">
      <iconSet iconSet="3Flags" showValue="0">
        <cfvo type="num" val="-1"/>
        <cfvo type="num" val="0"/>
        <cfvo type="num" val="1"/>
      </iconSet>
    </cfRule>
  </conditionalFormatting>
  <conditionalFormatting sqref="B19:B20">
    <cfRule type="iconSet" priority="3">
      <iconSet iconSet="3Flags" showValue="0">
        <cfvo type="num" val="-1"/>
        <cfvo type="num" val="0"/>
        <cfvo type="num" val="1"/>
      </iconSet>
    </cfRule>
  </conditionalFormatting>
  <conditionalFormatting sqref="C56:C57">
    <cfRule type="iconSet" priority="2">
      <iconSet iconSet="3Flags" showValue="0">
        <cfvo type="num" val="-1"/>
        <cfvo type="num" val="0"/>
        <cfvo type="num" val="1"/>
      </iconSet>
    </cfRule>
  </conditionalFormatting>
  <conditionalFormatting sqref="B56:B57">
    <cfRule type="iconSet" priority="1">
      <iconSet iconSet="3Flags" showValue="0">
        <cfvo type="num" val="-1"/>
        <cfvo type="num" val="0"/>
        <cfvo type="num" val="1"/>
      </iconSet>
    </cfRule>
  </conditionalFormatting>
  <dataValidations count="54">
    <dataValidation type="whole" allowBlank="1" showInputMessage="1" showErrorMessage="1" errorTitle="# Units Error" error="Must be greater than 1." sqref="G21 G26 G29 G52" xr:uid="{305E478E-5E92-4E1B-9B0C-0DE23F0924B2}">
      <formula1>1</formula1>
      <formula2>999999</formula2>
    </dataValidation>
    <dataValidation type="decimal" errorStyle="warning" allowBlank="1" showInputMessage="1" showErrorMessage="1" errorTitle="Use Rate Error" error="Must be between 0.1600 and 0.3200" sqref="Q21" xr:uid="{C1669151-CE30-455F-ADEE-677817E3E224}">
      <formula1>0.16</formula1>
      <formula2>0.32</formula2>
    </dataValidation>
    <dataValidation type="whole" allowBlank="1" showInputMessage="1" showErrorMessage="1" errorTitle="# Units Error" error="Must be greater than 1." sqref="G30:G31 G36:G38 G48:G49 G22 G25 G53 G58:G82" xr:uid="{C70C6886-AC61-4E22-86C6-88BA8C6144DC}">
      <formula1>1</formula1>
      <formula2>9999999</formula2>
    </dataValidation>
    <dataValidation type="decimal" errorStyle="warning" allowBlank="1" showInputMessage="1" showErrorMessage="1" errorTitle="Use Rate Error" error="Must be between 1.3000 and 4.0000" sqref="Q22" xr:uid="{92FE9227-4BF7-4883-B30E-7C925D463763}">
      <formula1>1.3</formula1>
      <formula2>4</formula2>
    </dataValidation>
    <dataValidation type="decimal" errorStyle="warning" allowBlank="1" showInputMessage="1" showErrorMessage="1" errorTitle="Use Rate Error" error="Must be between 0.5000 and 1.9000" sqref="Q23:Q24" xr:uid="{F67ADE45-7D28-450B-93EF-1DF58FC1321D}">
      <formula1>0.5</formula1>
      <formula2>1.9</formula2>
    </dataValidation>
    <dataValidation type="decimal" errorStyle="warning" allowBlank="1" showInputMessage="1" showErrorMessage="1" errorTitle="Use Rate Error" error="Must be between 0.0570 and 0.1130" sqref="Q25" xr:uid="{965E4927-4EEA-4DAF-A596-C1BBC2A18822}">
      <formula1>0.057</formula1>
      <formula2>0.113</formula2>
    </dataValidation>
    <dataValidation type="decimal" errorStyle="warning" allowBlank="1" showInputMessage="1" showErrorMessage="1" errorTitle="Use Rate Error" error="Must be between 0.1150 and 0.2300" sqref="Q26" xr:uid="{C37BD9AD-8653-4792-9336-8D12DFB4DB57}">
      <formula1>0.115</formula1>
      <formula2>0.23</formula2>
    </dataValidation>
    <dataValidation type="whole" allowBlank="1" showInputMessage="1" showErrorMessage="1" errorTitle="# Units Error" error="Must be between 1 and 2" sqref="G27 G23" xr:uid="{5FED50D2-9019-474A-B9B9-4E702D9AB7F0}">
      <formula1>1</formula1>
      <formula2>2</formula2>
    </dataValidation>
    <dataValidation type="decimal" errorStyle="warning" allowBlank="1" showInputMessage="1" showErrorMessage="1" errorTitle="Use Rate Error" error="Must be between 4.0000 and 8.0000" sqref="Q27:Q28" xr:uid="{3A7E68DF-498E-433A-A90F-E3C69B285831}">
      <formula1>4</formula1>
      <formula2>8</formula2>
    </dataValidation>
    <dataValidation type="whole" allowBlank="1" showInputMessage="1" showErrorMessage="1" errorTitle="# Units Error" error="Must be 3 or greater." sqref="G28 G24" xr:uid="{42BBF861-D461-4678-9EC3-4757248DE642}">
      <formula1>3</formula1>
      <formula2>9999999</formula2>
    </dataValidation>
    <dataValidation type="decimal" errorStyle="warning" allowBlank="1" showInputMessage="1" showErrorMessage="1" errorTitle="Use Rate Error" error="Must be between 0.1950 and 0.1950" sqref="Q29" xr:uid="{21BEB01E-1462-4EF8-A62A-1DC03811E629}">
      <formula1>0.195</formula1>
      <formula2>0.195</formula2>
    </dataValidation>
    <dataValidation type="decimal" errorStyle="warning" allowBlank="1" showInputMessage="1" showErrorMessage="1" errorTitle="Use Rate Error" error="Must be between 1.5000 and 6.0000" sqref="Q30" xr:uid="{6D6F8540-BEA8-4B32-B267-CC3F8578053C}">
      <formula1>1.5</formula1>
      <formula2>6</formula2>
    </dataValidation>
    <dataValidation type="decimal" errorStyle="warning" allowBlank="1" showInputMessage="1" showErrorMessage="1" errorTitle="Use Rate Error" error="Must be between 4.4000 and 15.0000" sqref="Q31" xr:uid="{9E592541-E1D0-4AD5-92C6-C7B5E934F122}">
      <formula1>4.4</formula1>
      <formula2>15</formula2>
    </dataValidation>
    <dataValidation type="whole" allowBlank="1" showInputMessage="1" showErrorMessage="1" errorTitle="# Units Error" error="Must be between 1 and 5" sqref="G32 G34 G50" xr:uid="{ED4A93C8-8661-4438-919A-E331975D4B6B}">
      <formula1>1</formula1>
      <formula2>5</formula2>
    </dataValidation>
    <dataValidation type="decimal" errorStyle="warning" allowBlank="1" showInputMessage="1" showErrorMessage="1" errorTitle="Use Rate Error" error="Must be between 0.1950 and 0.3900" sqref="Q32:Q33" xr:uid="{37E91B5A-D827-4C4D-A27F-2B5F03F91B2C}">
      <formula1>0.195</formula1>
      <formula2>0.39</formula2>
    </dataValidation>
    <dataValidation type="whole" allowBlank="1" showInputMessage="1" showErrorMessage="1" errorTitle="# Units Error" error="Must be 6 or greater." sqref="G51 G33 G35" xr:uid="{886279B4-EF09-42EE-961D-B350A6185306}">
      <formula1>6</formula1>
      <formula2>9999999</formula2>
    </dataValidation>
    <dataValidation type="decimal" errorStyle="warning" allowBlank="1" showInputMessage="1" showErrorMessage="1" errorTitle="Use Rate Error" error="Must be between 2.0000 and 7.0000" sqref="Q34:Q35" xr:uid="{D99B048A-CFED-4BA0-A340-2F3B808FDA3D}">
      <formula1>2</formula1>
      <formula2>7</formula2>
    </dataValidation>
    <dataValidation type="decimal" errorStyle="warning" allowBlank="1" showInputMessage="1" showErrorMessage="1" errorTitle="Use Rate Error" error="Must be between 0.1470 and 0.1970" sqref="Q36 Q71" xr:uid="{397B4D65-99DD-46E3-916E-355B90AB7D56}">
      <formula1>0.147</formula1>
      <formula2>0.197</formula2>
    </dataValidation>
    <dataValidation type="decimal" errorStyle="warning" allowBlank="1" showInputMessage="1" showErrorMessage="1" errorTitle="Use Rate Error" error="Must be between 1.0000 and 2.0000" sqref="Q37 Q50:Q51" xr:uid="{BFA54487-6F89-423D-AA31-8336521DA9E5}">
      <formula1>1</formula1>
      <formula2>2</formula2>
    </dataValidation>
    <dataValidation type="decimal" errorStyle="warning" allowBlank="1" showInputMessage="1" showErrorMessage="1" errorTitle="Use Rate Error" error="Must be between 0.1000 and 0.8000" sqref="Q38 Q75" xr:uid="{19D4DCBF-494E-4DC4-9439-8F13386B874E}">
      <formula1>0.1</formula1>
      <formula2>0.8</formula2>
    </dataValidation>
    <dataValidation type="whole" allowBlank="1" showInputMessage="1" showErrorMessage="1" errorTitle="# Units Error" error="Must be between 1 and 11" sqref="G39" xr:uid="{5C09BDD8-7AFA-4771-AE92-1329D379A7C0}">
      <formula1>1</formula1>
      <formula2>11</formula2>
    </dataValidation>
    <dataValidation type="decimal" errorStyle="warning" allowBlank="1" showInputMessage="1" showErrorMessage="1" errorTitle="Use Rate Error" error="Must be between 1.8500 and 2.8000" sqref="Q39:Q41" xr:uid="{F95F817F-DA4F-4B4A-BFB0-AADDD5B7EBF9}">
      <formula1>1.85</formula1>
      <formula2>2.8</formula2>
    </dataValidation>
    <dataValidation type="whole" allowBlank="1" showInputMessage="1" showErrorMessage="1" errorTitle="# Units Error" error="Must be between 12 and 39" sqref="G40" xr:uid="{EA4EC892-DD21-4965-8C3B-AC1B4E0CEB69}">
      <formula1>12</formula1>
      <formula2>39</formula2>
    </dataValidation>
    <dataValidation type="whole" allowBlank="1" showInputMessage="1" showErrorMessage="1" errorTitle="# Units Error" error="Must be greater than 40." sqref="G41" xr:uid="{906CE296-C1C3-45BD-B272-9DD5FD3974F4}">
      <formula1>40</formula1>
      <formula2>9999999</formula2>
    </dataValidation>
    <dataValidation type="whole" allowBlank="1" showInputMessage="1" showErrorMessage="1" errorTitle="# Units Error" error="Must be between 1 and 23" sqref="G42" xr:uid="{A410F419-7BE1-46E1-A8BD-8020F2E01FD3}">
      <formula1>1</formula1>
      <formula2>23</formula2>
    </dataValidation>
    <dataValidation type="decimal" errorStyle="warning" allowBlank="1" showInputMessage="1" showErrorMessage="1" errorTitle="Use Rate Error" error="Must be between 2.0000 and 6.0000" sqref="Q42:Q43" xr:uid="{92687EB2-5D41-49C8-9A63-A201EA29B6CE}">
      <formula1>2</formula1>
      <formula2>6</formula2>
    </dataValidation>
    <dataValidation type="whole" allowBlank="1" showInputMessage="1" showErrorMessage="1" errorTitle="# Units Error" error="Must be 24 or greater." sqref="G43" xr:uid="{6846DB07-2CDC-4C76-9721-408728FCDCF3}">
      <formula1>24</formula1>
      <formula2>9999999</formula2>
    </dataValidation>
    <dataValidation type="whole" allowBlank="1" showInputMessage="1" showErrorMessage="1" errorTitle="# Units Error" error="Must be between 1 and 3" sqref="G44" xr:uid="{0E8C9E55-8C78-4FF7-805D-29AD374025B3}">
      <formula1>1</formula1>
      <formula2>3</formula2>
    </dataValidation>
    <dataValidation type="decimal" errorStyle="warning" allowBlank="1" showInputMessage="1" showErrorMessage="1" errorTitle="Use Rate Error" error="Must be between 0.0680 and 0.2300" sqref="Q44:Q48" xr:uid="{3162015F-5A83-4292-860C-DCA97BFC9B05}">
      <formula1>0.068</formula1>
      <formula2>0.23</formula2>
    </dataValidation>
    <dataValidation type="whole" allowBlank="1" showInputMessage="1" showErrorMessage="1" errorTitle="# Units Error" error="Must be between 4 and 13" sqref="G45" xr:uid="{1D10E513-081B-4466-BA15-473A0E10617A}">
      <formula1>4</formula1>
      <formula2>13</formula2>
    </dataValidation>
    <dataValidation type="whole" allowBlank="1" showInputMessage="1" showErrorMessage="1" errorTitle="# Units Error" error="Must be between 14 and 25" sqref="G46" xr:uid="{D4DD296A-A616-4A25-A879-D96D23F9A5FF}">
      <formula1>14</formula1>
      <formula2>25</formula2>
    </dataValidation>
    <dataValidation type="whole" allowBlank="1" showInputMessage="1" showErrorMessage="1" errorTitle="# Units Error" error="Must be 26 or greater." sqref="G47" xr:uid="{B3DB694B-48C3-4450-A8DA-59A3D851707B}">
      <formula1>26</formula1>
      <formula2>9999999</formula2>
    </dataValidation>
    <dataValidation type="decimal" errorStyle="warning" allowBlank="1" showInputMessage="1" showErrorMessage="1" errorTitle="Use Rate Error" error="Must be between 2.3000 and 4.6000" sqref="Q49" xr:uid="{B9B9EBC3-2ACF-4FCD-ACE3-249D92A45954}">
      <formula1>2.3</formula1>
      <formula2>4.6</formula2>
    </dataValidation>
    <dataValidation type="decimal" errorStyle="warning" allowBlank="1" showInputMessage="1" showErrorMessage="1" errorTitle="Use Rate Error" error="Must be between 0.3670 and 0.7350" sqref="Q52" xr:uid="{AAFDAFA0-5416-4532-827B-3102A6873016}">
      <formula1>0.367</formula1>
      <formula2>0.735</formula2>
    </dataValidation>
    <dataValidation type="decimal" errorStyle="warning" allowBlank="1" showInputMessage="1" showErrorMessage="1" errorTitle="Use Rate Error" error="Must be between 2.0000 and 2.0000" sqref="Q82" xr:uid="{90E79B5A-F2DA-428B-9A7B-538A0FC0155F}">
      <formula1>2</formula1>
      <formula2>2</formula2>
    </dataValidation>
    <dataValidation type="decimal" errorStyle="warning" allowBlank="1" showInputMessage="1" showErrorMessage="1" errorTitle="Use Rate Error" error="Must be between 0.0230 and 0.0730" sqref="Q53" xr:uid="{463C6FEB-18C7-4026-8674-4A05CA3FB328}">
      <formula1>0.023</formula1>
      <formula2>0.073</formula2>
    </dataValidation>
    <dataValidation type="decimal" errorStyle="warning" allowBlank="1" showInputMessage="1" showErrorMessage="1" errorTitle="Use Rate Error" error="Must be between 2.0000 and 8.0000" sqref="Q58 Q62" xr:uid="{61CA5CDF-9D53-49F5-ACAC-0402B33D7A07}">
      <formula1>2</formula1>
      <formula2>8</formula2>
    </dataValidation>
    <dataValidation type="decimal" errorStyle="warning" allowBlank="1" showInputMessage="1" showErrorMessage="1" errorTitle="Use Rate Error" error="Must be between 0.0800 and 0.9000" sqref="Q59:Q60" xr:uid="{47B48BEC-1D0C-4E0E-99F2-10CB8D09D1FF}">
      <formula1>0.08</formula1>
      <formula2>0.9</formula2>
    </dataValidation>
    <dataValidation type="decimal" errorStyle="warning" allowBlank="1" showInputMessage="1" showErrorMessage="1" errorTitle="Use Rate Error" error="Must be between 0.6000 and 1.5000" sqref="Q61" xr:uid="{D843F444-947F-45CD-BEA7-E08DE7A8EC99}">
      <formula1>0.6</formula1>
      <formula2>1.5</formula2>
    </dataValidation>
    <dataValidation type="decimal" errorStyle="warning" allowBlank="1" showInputMessage="1" showErrorMessage="1" errorTitle="Use Rate Error" error="Must be between 0.7500 and 6.0000" sqref="Q63" xr:uid="{64AC5CF7-F158-46DF-BE43-148106AF06C9}">
      <formula1>0.75</formula1>
      <formula2>6</formula2>
    </dataValidation>
    <dataValidation type="decimal" errorStyle="warning" allowBlank="1" showInputMessage="1" showErrorMessage="1" errorTitle="Use Rate Error" error="Must be between 0.1000 and 0.2500" sqref="Q64" xr:uid="{9CA96F40-339B-4CA3-A899-594AF32A4855}">
      <formula1>0.1</formula1>
      <formula2>0.25</formula2>
    </dataValidation>
    <dataValidation type="decimal" errorStyle="warning" allowBlank="1" showInputMessage="1" showErrorMessage="1" errorTitle="Use Rate Error" error="Must be between 4.6000 and 6.9000" sqref="Q66" xr:uid="{B9FFC7F1-12FD-4F88-AB94-5D55442A070C}">
      <formula1>4.6</formula1>
      <formula2>6.9</formula2>
    </dataValidation>
    <dataValidation type="decimal" errorStyle="warning" allowBlank="1" showInputMessage="1" showErrorMessage="1" errorTitle="Use Rate Error" error="Must be between 2.0000 and 3.0000" sqref="Q67" xr:uid="{479D220A-0E5B-40A7-952D-65B4085DE724}">
      <formula1>2</formula1>
      <formula2>3</formula2>
    </dataValidation>
    <dataValidation type="decimal" errorStyle="warning" allowBlank="1" showInputMessage="1" showErrorMessage="1" errorTitle="Use Rate Error" error="Must be between 0.0320 and 0.0900" sqref="Q68" xr:uid="{CEF52012-4A50-4CB7-94DB-C70E82A83F5E}">
      <formula1>0.032</formula1>
      <formula2>0.09</formula2>
    </dataValidation>
    <dataValidation type="decimal" errorStyle="warning" allowBlank="1" showInputMessage="1" showErrorMessage="1" errorTitle="Use Rate Error" error="Must be between 1.4000 and 1.8000" sqref="Q69" xr:uid="{FBDCEF4F-B984-4B45-B368-AE30D79670C9}">
      <formula1>1.4</formula1>
      <formula2>1.8</formula2>
    </dataValidation>
    <dataValidation type="decimal" errorStyle="warning" allowBlank="1" showInputMessage="1" showErrorMessage="1" errorTitle="Use Rate Error" error="Must be between 0.4600 and 0.6000" sqref="Q70" xr:uid="{3B1AE27C-8AE7-4898-BF2A-1D3C60EF5E6A}">
      <formula1>0.46</formula1>
      <formula2>0.6</formula2>
    </dataValidation>
    <dataValidation type="decimal" errorStyle="warning" allowBlank="1" showInputMessage="1" showErrorMessage="1" errorTitle="Use Rate Error" error="Must be between 1.0000 and 4.5000" sqref="Q72" xr:uid="{551BFFA5-75F7-4B8C-AE50-AB8D52C14FAF}">
      <formula1>1</formula1>
      <formula2>4.5</formula2>
    </dataValidation>
    <dataValidation type="decimal" errorStyle="warning" allowBlank="1" showInputMessage="1" showErrorMessage="1" errorTitle="Use Rate Error" error="Must be between 1.5000 and 4.5000" sqref="Q73" xr:uid="{5122D9AF-AB66-48D9-AEB1-31A8587818A9}">
      <formula1>1.5</formula1>
      <formula2>4.5</formula2>
    </dataValidation>
    <dataValidation type="decimal" errorStyle="warning" allowBlank="1" showInputMessage="1" showErrorMessage="1" errorTitle="Use Rate Error" error="Must be between 5.0000 and 5.0000" sqref="Q74" xr:uid="{DA5291B8-B58E-43F3-9BBB-F458B68A2C3D}">
      <formula1>5</formula1>
      <formula2>5</formula2>
    </dataValidation>
    <dataValidation type="decimal" errorStyle="warning" allowBlank="1" showInputMessage="1" showErrorMessage="1" errorTitle="Use Rate Error" error="Must be between 2.0000 and 10.0000" sqref="Q76" xr:uid="{A6C27442-46E0-4434-8BC4-B1596B9C1BF7}">
      <formula1>2</formula1>
      <formula2>10</formula2>
    </dataValidation>
    <dataValidation type="decimal" errorStyle="warning" allowBlank="1" showInputMessage="1" showErrorMessage="1" errorTitle="Use Rate Error" error="Must be between 16.0000 and 16.0000" sqref="Q77" xr:uid="{C55F3342-7771-4FA8-8202-F8552025E654}">
      <formula1>16</formula1>
      <formula2>16</formula2>
    </dataValidation>
    <dataValidation type="decimal" errorStyle="warning" allowBlank="1" showInputMessage="1" showErrorMessage="1" errorTitle="Use Rate Error" error="Must be between 0.1380 and 0.2750" sqref="Q78:Q79" xr:uid="{C971BE5B-799A-4D1C-936B-8E1CECB84356}">
      <formula1>0.138</formula1>
      <formula2>0.275</formula2>
    </dataValidation>
    <dataValidation type="decimal" errorStyle="warning" allowBlank="1" showInputMessage="1" showErrorMessage="1" errorTitle="Use Rate Error" error="Must be between 0.1770 and 0.3540" sqref="Q80" xr:uid="{55CBDD8B-D575-4DD0-BAB8-FBB19CE0CFA0}">
      <formula1>0.177</formula1>
      <formula2>0.354</formula2>
    </dataValidation>
    <dataValidation type="decimal" errorStyle="warning" allowBlank="1" showInputMessage="1" showErrorMessage="1" errorTitle="Use Rate Error" error="Must be between 0.1760 and 0.3520" sqref="Q81:Q82" xr:uid="{E4C5689B-B0F0-4EDC-9670-F10C5214B609}">
      <formula1>0.176</formula1>
      <formula2>0.352</formula2>
    </dataValidation>
  </dataValidations>
  <pageMargins left="0.75" right="0.75" top="0.75" bottom="0.5" header="0.5" footer="0.75"/>
  <pageSetup orientation="portrait" horizontalDpi="1200" verticalDpi="1200" r:id="rId1"/>
  <headerFooter>
    <oddFooter>&amp;R&amp;1#&amp;"Calibri"&amp;22&amp;KFF8939RESTRICTED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D71B05F-6A60-4D73-A335-5720E97521B9}">
          <x14:formula1>
            <xm:f>Rebates!$B$25:$B$26</xm:f>
          </x14:formula1>
          <xm:sqref>K90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C450B-87D3-4AF2-A5C2-F2383F2F362A}">
  <dimension ref="B2:S26"/>
  <sheetViews>
    <sheetView topLeftCell="A25" workbookViewId="0">
      <selection activeCell="AI88" activeCellId="3" sqref="AI52:AN52 AI64:AN64 AI76:AN76 AI88:AN88"/>
    </sheetView>
  </sheetViews>
  <sheetFormatPr defaultColWidth="9.1796875" defaultRowHeight="13" x14ac:dyDescent="0.3"/>
  <cols>
    <col min="1" max="1" width="9.1796875" style="8" customWidth="1"/>
    <col min="2" max="2" width="15.7265625" style="8" customWidth="1"/>
    <col min="3" max="3" width="25.7265625" style="8" customWidth="1"/>
    <col min="4" max="4" width="15.7265625" style="8" customWidth="1"/>
    <col min="5" max="5" width="9.1796875" style="8" customWidth="1"/>
    <col min="6" max="6" width="15.7265625" style="8" customWidth="1"/>
    <col min="7" max="8" width="25.7265625" style="8" customWidth="1"/>
    <col min="9" max="10" width="15.7265625" style="9" customWidth="1"/>
    <col min="11" max="11" width="15.7265625" style="11" customWidth="1"/>
    <col min="12" max="12" width="9.1796875" style="8" customWidth="1"/>
    <col min="13" max="14" width="15.7265625" style="10" customWidth="1"/>
    <col min="15" max="15" width="15.7265625" style="11" customWidth="1"/>
    <col min="16" max="16" width="15.7265625" style="8" customWidth="1"/>
    <col min="17" max="17" width="9.1796875" style="8" customWidth="1"/>
    <col min="18" max="16384" width="9.1796875" style="8"/>
  </cols>
  <sheetData>
    <row r="2" spans="2:19" x14ac:dyDescent="0.3">
      <c r="B2" s="196" t="s">
        <v>248</v>
      </c>
      <c r="C2" s="196"/>
      <c r="D2" s="196"/>
      <c r="F2" s="196" t="s">
        <v>249</v>
      </c>
      <c r="G2" s="196"/>
      <c r="H2" s="196"/>
      <c r="I2" s="197"/>
      <c r="J2" s="197"/>
      <c r="K2" s="198"/>
      <c r="M2" s="199" t="s">
        <v>3</v>
      </c>
      <c r="N2" s="199"/>
      <c r="O2" s="198"/>
      <c r="P2" s="196"/>
    </row>
    <row r="3" spans="2:19" ht="26" x14ac:dyDescent="0.3">
      <c r="B3" s="200" t="s">
        <v>250</v>
      </c>
      <c r="C3" s="200" t="s">
        <v>251</v>
      </c>
      <c r="D3" s="200" t="s">
        <v>252</v>
      </c>
      <c r="F3" s="200" t="s">
        <v>19</v>
      </c>
      <c r="G3" s="200" t="s">
        <v>20</v>
      </c>
      <c r="H3" s="200" t="s">
        <v>253</v>
      </c>
      <c r="I3" s="201" t="s">
        <v>254</v>
      </c>
      <c r="J3" s="201" t="s">
        <v>255</v>
      </c>
      <c r="K3" s="202" t="s">
        <v>6</v>
      </c>
      <c r="M3" s="23" t="s">
        <v>254</v>
      </c>
      <c r="N3" s="23" t="s">
        <v>255</v>
      </c>
      <c r="O3" s="202" t="s">
        <v>6</v>
      </c>
      <c r="P3" s="200" t="s">
        <v>256</v>
      </c>
    </row>
    <row r="4" spans="2:19" x14ac:dyDescent="0.3">
      <c r="B4" s="203">
        <v>10</v>
      </c>
      <c r="C4" s="203" t="s">
        <v>257</v>
      </c>
      <c r="D4" s="203">
        <v>1</v>
      </c>
      <c r="F4" s="203" t="s">
        <v>50</v>
      </c>
      <c r="G4" s="203" t="s">
        <v>51</v>
      </c>
      <c r="H4" s="203" t="s">
        <v>52</v>
      </c>
      <c r="I4" s="204">
        <v>4</v>
      </c>
      <c r="J4" s="204">
        <v>9999999</v>
      </c>
      <c r="K4" s="205">
        <v>6.4051240992999997E-2</v>
      </c>
      <c r="L4" s="206"/>
      <c r="M4" s="29">
        <v>5000</v>
      </c>
      <c r="N4" s="29">
        <v>11999.99</v>
      </c>
      <c r="O4" s="207">
        <v>0.03</v>
      </c>
      <c r="P4" s="205">
        <v>1</v>
      </c>
      <c r="Q4" s="206"/>
      <c r="R4" s="206"/>
      <c r="S4" s="206"/>
    </row>
    <row r="5" spans="2:19" x14ac:dyDescent="0.3">
      <c r="B5" s="203">
        <v>1</v>
      </c>
      <c r="C5" s="203" t="s">
        <v>258</v>
      </c>
      <c r="D5" s="203">
        <v>0</v>
      </c>
      <c r="F5" s="203" t="s">
        <v>87</v>
      </c>
      <c r="G5" s="203" t="s">
        <v>259</v>
      </c>
      <c r="H5" s="203" t="s">
        <v>52</v>
      </c>
      <c r="I5" s="204">
        <v>2</v>
      </c>
      <c r="J5" s="204">
        <v>5</v>
      </c>
      <c r="K5" s="205">
        <v>5.2910052909999998E-2</v>
      </c>
      <c r="L5" s="206"/>
      <c r="M5" s="29">
        <v>12000</v>
      </c>
      <c r="N5" s="29">
        <v>16999.990000000002</v>
      </c>
      <c r="O5" s="207">
        <v>0.04</v>
      </c>
      <c r="P5" s="205">
        <v>1</v>
      </c>
      <c r="Q5" s="206"/>
      <c r="R5" s="206"/>
      <c r="S5" s="206"/>
    </row>
    <row r="6" spans="2:19" x14ac:dyDescent="0.3">
      <c r="B6" s="203">
        <v>2</v>
      </c>
      <c r="C6" s="203" t="s">
        <v>260</v>
      </c>
      <c r="D6" s="203">
        <v>0</v>
      </c>
      <c r="F6" s="203" t="s">
        <v>87</v>
      </c>
      <c r="G6" s="203" t="s">
        <v>259</v>
      </c>
      <c r="H6" s="203" t="s">
        <v>52</v>
      </c>
      <c r="I6" s="204">
        <v>6</v>
      </c>
      <c r="J6" s="204">
        <v>999999</v>
      </c>
      <c r="K6" s="205">
        <v>6.0240963855000003E-2</v>
      </c>
      <c r="L6" s="206"/>
      <c r="M6" s="29">
        <v>17000</v>
      </c>
      <c r="N6" s="29">
        <v>26999.99</v>
      </c>
      <c r="O6" s="207">
        <v>0.05</v>
      </c>
      <c r="P6" s="205">
        <v>1</v>
      </c>
      <c r="Q6" s="206"/>
      <c r="R6" s="206"/>
      <c r="S6" s="206"/>
    </row>
    <row r="7" spans="2:19" x14ac:dyDescent="0.3">
      <c r="B7" s="203">
        <v>3</v>
      </c>
      <c r="C7" s="203" t="s">
        <v>261</v>
      </c>
      <c r="D7" s="203">
        <v>0</v>
      </c>
      <c r="F7" s="203" t="s">
        <v>95</v>
      </c>
      <c r="G7" s="203" t="s">
        <v>96</v>
      </c>
      <c r="H7" s="203" t="s">
        <v>52</v>
      </c>
      <c r="I7" s="204">
        <v>1</v>
      </c>
      <c r="J7" s="204">
        <v>9999999</v>
      </c>
      <c r="K7" s="205">
        <v>1.1990407674E-2</v>
      </c>
      <c r="L7" s="206"/>
      <c r="M7" s="29">
        <v>27000</v>
      </c>
      <c r="N7" s="29">
        <v>31999.99</v>
      </c>
      <c r="O7" s="207">
        <v>0.06</v>
      </c>
      <c r="P7" s="205">
        <v>1</v>
      </c>
      <c r="Q7" s="206"/>
      <c r="R7" s="206"/>
      <c r="S7" s="206"/>
    </row>
    <row r="8" spans="2:19" x14ac:dyDescent="0.3">
      <c r="B8" s="203">
        <v>5</v>
      </c>
      <c r="C8" s="203" t="s">
        <v>262</v>
      </c>
      <c r="D8" s="203">
        <v>0</v>
      </c>
      <c r="F8" s="203" t="s">
        <v>109</v>
      </c>
      <c r="G8" s="203" t="s">
        <v>263</v>
      </c>
      <c r="H8" s="203" t="s">
        <v>111</v>
      </c>
      <c r="I8" s="204">
        <v>4</v>
      </c>
      <c r="J8" s="204">
        <v>23</v>
      </c>
      <c r="K8" s="205">
        <v>2.8571428571E-2</v>
      </c>
      <c r="L8" s="206"/>
      <c r="M8" s="29">
        <v>32000</v>
      </c>
      <c r="N8" s="29">
        <v>41999.99</v>
      </c>
      <c r="O8" s="207">
        <v>0.08</v>
      </c>
      <c r="P8" s="205">
        <v>1</v>
      </c>
      <c r="Q8" s="206"/>
      <c r="R8" s="206"/>
      <c r="S8" s="206"/>
    </row>
    <row r="9" spans="2:19" x14ac:dyDescent="0.3">
      <c r="B9" s="203">
        <v>6</v>
      </c>
      <c r="C9" s="203" t="s">
        <v>264</v>
      </c>
      <c r="D9" s="203">
        <v>0</v>
      </c>
      <c r="F9" s="203" t="s">
        <v>109</v>
      </c>
      <c r="G9" s="203" t="s">
        <v>263</v>
      </c>
      <c r="H9" s="203" t="s">
        <v>111</v>
      </c>
      <c r="I9" s="204">
        <v>24</v>
      </c>
      <c r="J9" s="204">
        <v>999999</v>
      </c>
      <c r="K9" s="205">
        <v>3.125E-2</v>
      </c>
      <c r="L9" s="206"/>
      <c r="M9" s="29">
        <v>42000</v>
      </c>
      <c r="N9" s="29">
        <v>999999.99</v>
      </c>
      <c r="O9" s="207">
        <v>0.09</v>
      </c>
      <c r="P9" s="205">
        <v>1</v>
      </c>
      <c r="Q9" s="206"/>
      <c r="R9" s="206"/>
      <c r="S9" s="206"/>
    </row>
    <row r="10" spans="2:19" x14ac:dyDescent="0.3">
      <c r="B10" s="203">
        <v>4</v>
      </c>
      <c r="C10" s="203" t="s">
        <v>265</v>
      </c>
      <c r="D10" s="203">
        <v>0</v>
      </c>
      <c r="F10" s="203" t="s">
        <v>124</v>
      </c>
      <c r="G10" s="203" t="s">
        <v>125</v>
      </c>
      <c r="H10" s="203" t="s">
        <v>126</v>
      </c>
      <c r="I10" s="208">
        <v>10</v>
      </c>
      <c r="J10" s="204">
        <v>999999</v>
      </c>
      <c r="K10" s="209">
        <v>4.9504950494999998E-2</v>
      </c>
      <c r="L10" s="206"/>
    </row>
    <row r="11" spans="2:19" x14ac:dyDescent="0.3">
      <c r="B11" s="203">
        <v>7</v>
      </c>
      <c r="C11" s="203" t="s">
        <v>266</v>
      </c>
      <c r="D11" s="203">
        <v>1</v>
      </c>
      <c r="F11" s="74" t="s">
        <v>54</v>
      </c>
      <c r="G11" s="74" t="s">
        <v>55</v>
      </c>
      <c r="H11" s="210" t="s">
        <v>52</v>
      </c>
      <c r="I11" s="211">
        <v>1</v>
      </c>
      <c r="J11" s="212">
        <v>2</v>
      </c>
      <c r="K11" s="213">
        <v>1.80505415E-2</v>
      </c>
    </row>
    <row r="12" spans="2:19" x14ac:dyDescent="0.3">
      <c r="B12" s="203">
        <v>11</v>
      </c>
      <c r="C12" s="203" t="s">
        <v>267</v>
      </c>
      <c r="D12" s="203">
        <v>1</v>
      </c>
      <c r="F12" s="74" t="s">
        <v>54</v>
      </c>
      <c r="G12" s="74" t="s">
        <v>57</v>
      </c>
      <c r="H12" s="210" t="s">
        <v>52</v>
      </c>
      <c r="I12" s="211">
        <v>3</v>
      </c>
      <c r="J12" s="212">
        <v>999999</v>
      </c>
      <c r="K12" s="213">
        <v>1.9230769200000001E-2</v>
      </c>
    </row>
    <row r="13" spans="2:19" x14ac:dyDescent="0.3">
      <c r="B13" s="203">
        <v>8</v>
      </c>
      <c r="C13" s="203" t="s">
        <v>268</v>
      </c>
      <c r="D13" s="203">
        <v>0</v>
      </c>
      <c r="F13" s="74" t="s">
        <v>74</v>
      </c>
      <c r="G13" s="74" t="s">
        <v>75</v>
      </c>
      <c r="H13" s="210" t="s">
        <v>52</v>
      </c>
      <c r="I13" s="211">
        <v>16</v>
      </c>
      <c r="J13" s="212">
        <v>999999</v>
      </c>
      <c r="K13" s="213">
        <v>0.13986013990000001</v>
      </c>
    </row>
    <row r="14" spans="2:19" x14ac:dyDescent="0.3">
      <c r="B14" s="203">
        <v>9</v>
      </c>
      <c r="C14" s="203" t="s">
        <v>269</v>
      </c>
      <c r="D14" s="203">
        <v>0</v>
      </c>
      <c r="F14" s="74" t="s">
        <v>78</v>
      </c>
      <c r="G14" s="74" t="s">
        <v>79</v>
      </c>
      <c r="H14" s="210" t="s">
        <v>52</v>
      </c>
      <c r="I14" s="211">
        <v>8</v>
      </c>
      <c r="J14" s="212">
        <v>999999</v>
      </c>
      <c r="K14" s="213">
        <v>7.0234583500000003E-2</v>
      </c>
    </row>
    <row r="15" spans="2:19" x14ac:dyDescent="0.3">
      <c r="F15" s="74" t="s">
        <v>128</v>
      </c>
      <c r="G15" s="74" t="s">
        <v>129</v>
      </c>
      <c r="H15" s="210" t="s">
        <v>52</v>
      </c>
      <c r="I15" s="211">
        <v>1</v>
      </c>
      <c r="J15" s="212">
        <v>5</v>
      </c>
      <c r="K15" s="213">
        <v>4.7058823499999999E-2</v>
      </c>
    </row>
    <row r="16" spans="2:19" x14ac:dyDescent="0.3">
      <c r="F16" s="74" t="s">
        <v>128</v>
      </c>
      <c r="G16" s="74" t="s">
        <v>131</v>
      </c>
      <c r="H16" s="210" t="s">
        <v>52</v>
      </c>
      <c r="I16" s="211">
        <v>6</v>
      </c>
      <c r="J16" s="212">
        <v>999999</v>
      </c>
      <c r="K16" s="213">
        <v>5.1612903199999997E-2</v>
      </c>
    </row>
    <row r="17" spans="2:11" x14ac:dyDescent="0.3">
      <c r="F17" s="74" t="s">
        <v>58</v>
      </c>
      <c r="G17" s="74" t="s">
        <v>59</v>
      </c>
      <c r="H17" s="210" t="s">
        <v>60</v>
      </c>
      <c r="I17" s="211">
        <v>16</v>
      </c>
      <c r="J17" s="212">
        <v>999999</v>
      </c>
      <c r="K17" s="213">
        <v>4.6446818399999999E-2</v>
      </c>
    </row>
    <row r="18" spans="2:11" x14ac:dyDescent="0.3">
      <c r="F18" s="74" t="s">
        <v>220</v>
      </c>
      <c r="G18" s="74" t="s">
        <v>221</v>
      </c>
      <c r="H18" s="210" t="s">
        <v>60</v>
      </c>
      <c r="I18" s="211">
        <v>16</v>
      </c>
      <c r="J18" s="212">
        <v>999999</v>
      </c>
      <c r="K18" s="213">
        <v>3.4013605400000001E-2</v>
      </c>
    </row>
    <row r="19" spans="2:11" x14ac:dyDescent="0.3">
      <c r="F19" s="74" t="s">
        <v>91</v>
      </c>
      <c r="G19" s="74" t="s">
        <v>92</v>
      </c>
      <c r="H19" s="210" t="s">
        <v>93</v>
      </c>
      <c r="I19" s="211">
        <v>1</v>
      </c>
      <c r="J19" s="212">
        <v>999999</v>
      </c>
      <c r="K19" s="213">
        <v>4.2231075700000002E-2</v>
      </c>
    </row>
    <row r="20" spans="2:11" x14ac:dyDescent="0.3">
      <c r="F20" s="74" t="s">
        <v>139</v>
      </c>
      <c r="G20" s="74" t="s">
        <v>140</v>
      </c>
      <c r="H20" s="210" t="s">
        <v>52</v>
      </c>
      <c r="I20" s="211">
        <v>1</v>
      </c>
      <c r="J20" s="212">
        <v>999999</v>
      </c>
      <c r="K20" s="213">
        <v>0.1173020528</v>
      </c>
    </row>
    <row r="21" spans="2:11" x14ac:dyDescent="0.3">
      <c r="F21" s="74" t="s">
        <v>151</v>
      </c>
      <c r="G21" s="74" t="s">
        <v>152</v>
      </c>
      <c r="H21" s="210" t="s">
        <v>153</v>
      </c>
      <c r="I21" s="211">
        <v>1</v>
      </c>
      <c r="J21" s="212">
        <v>999999</v>
      </c>
      <c r="K21" s="213">
        <v>0.120796581</v>
      </c>
    </row>
    <row r="22" spans="2:11" x14ac:dyDescent="0.3">
      <c r="F22" s="74" t="s">
        <v>232</v>
      </c>
      <c r="G22" s="74" t="s">
        <v>233</v>
      </c>
      <c r="H22" s="210" t="s">
        <v>116</v>
      </c>
      <c r="I22" s="211">
        <v>1</v>
      </c>
      <c r="J22" s="212">
        <v>999999</v>
      </c>
      <c r="K22" s="213">
        <v>0.1554592092</v>
      </c>
    </row>
    <row r="23" spans="2:11" x14ac:dyDescent="0.3">
      <c r="F23" s="74" t="s">
        <v>143</v>
      </c>
      <c r="G23" s="74" t="s">
        <v>144</v>
      </c>
      <c r="H23" s="74" t="s">
        <v>145</v>
      </c>
      <c r="I23" s="211">
        <v>1</v>
      </c>
      <c r="J23" s="212">
        <v>999999</v>
      </c>
      <c r="K23" s="213">
        <v>0.2346041056</v>
      </c>
    </row>
    <row r="25" spans="2:11" x14ac:dyDescent="0.3">
      <c r="B25" s="8" t="s">
        <v>270</v>
      </c>
    </row>
    <row r="26" spans="2:11" x14ac:dyDescent="0.3">
      <c r="B26" s="8" t="s">
        <v>213</v>
      </c>
    </row>
  </sheetData>
  <mergeCells count="3">
    <mergeCell ref="B2:D2"/>
    <mergeCell ref="F2:K2"/>
    <mergeCell ref="M2:P2"/>
  </mergeCells>
  <pageMargins left="0.75" right="0.75" top="0.75" bottom="0.5" header="0.5" footer="0.75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CCF42-7FB3-4860-8364-DE8EA5C5C7C5}">
  <dimension ref="A1"/>
  <sheetViews>
    <sheetView topLeftCell="A19" workbookViewId="0">
      <selection activeCell="A53" sqref="A53"/>
    </sheetView>
  </sheetViews>
  <sheetFormatPr defaultRowHeight="14.5" x14ac:dyDescent="0.35"/>
  <sheetData/>
  <pageMargins left="0.7" right="0.7" top="0.75" bottom="0.75" header="0.3" footer="0.3"/>
  <pageSetup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37A66-C21C-49FB-B03D-4FFCAA44A36F}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FBE374640DB3F429090B8F33EB7D9BA" ma:contentTypeVersion="25" ma:contentTypeDescription="Create a new document." ma:contentTypeScope="" ma:versionID="f0f5602e697146ef8d20744002093b13">
  <xsd:schema xmlns:xsd="http://www.w3.org/2001/XMLSchema" xmlns:xs="http://www.w3.org/2001/XMLSchema" xmlns:p="http://schemas.microsoft.com/office/2006/metadata/properties" xmlns:ns1="http://schemas.microsoft.com/sharepoint/v3" xmlns:ns2="1a4d292e-883c-434b-96e3-060cfff16c86" xmlns:ns3="d525a62c-da01-445d-af5e-c245484765dd" xmlns:ns4="813ded00-78ba-41d4-a40b-e947e0b75582" targetNamespace="http://schemas.microsoft.com/office/2006/metadata/properties" ma:root="true" ma:fieldsID="38bda0fe7be73c2eeffb07ea90e8a545" ns1:_="" ns2:_="" ns3:_="" ns4:_="">
    <xsd:import namespace="http://schemas.microsoft.com/sharepoint/v3"/>
    <xsd:import namespace="1a4d292e-883c-434b-96e3-060cfff16c86"/>
    <xsd:import namespace="d525a62c-da01-445d-af5e-c245484765dd"/>
    <xsd:import namespace="813ded00-78ba-41d4-a40b-e947e0b75582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1:_dlc_Exempt" minOccurs="0"/>
                <xsd:element ref="ns1:_dlc_ExpireDateSaved" minOccurs="0"/>
                <xsd:element ref="ns1:_dlc_ExpireDate" minOccurs="0"/>
                <xsd:element ref="ns3:MediaServiceFastMetadata" minOccurs="0"/>
                <xsd:element ref="ns3:MediaServiceMetadata" minOccurs="0"/>
                <xsd:element ref="ns4:SharedWithUsers" minOccurs="0"/>
                <xsd:element ref="ns4:SharedWithDetails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10" nillable="true" ma:displayName="Exempt from Policy" ma:hidden="true" ma:internalName="_dlc_Exempt" ma:readOnly="false">
      <xsd:simpleType>
        <xsd:restriction base="dms:Unknown"/>
      </xsd:simpleType>
    </xsd:element>
    <xsd:element name="_dlc_ExpireDateSaved" ma:index="11" nillable="true" ma:displayName="Original Expiration Date" ma:hidden="true" ma:internalName="_dlc_ExpireDateSaved" ma:readOnly="false">
      <xsd:simpleType>
        <xsd:restriction base="dms:DateTime"/>
      </xsd:simpleType>
    </xsd:element>
    <xsd:element name="_dlc_ExpireDate" ma:index="12" nillable="true" ma:displayName="Expiration Date" ma:hidden="true" ma:internalName="_dlc_ExpireDate" ma:readOnly="fals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4d292e-883c-434b-96e3-060cfff16c86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8359b9d1-e267-45a5-8ac5-edcb5344dcdb}" ma:internalName="TaxCatchAll" ma:showField="CatchAllData" ma:web="813ded00-78ba-41d4-a40b-e947e0b755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8359b9d1-e267-45a5-8ac5-edcb5344dcdb}" ma:internalName="TaxCatchAllLabel" ma:readOnly="true" ma:showField="CatchAllDataLabel" ma:web="813ded00-78ba-41d4-a40b-e947e0b755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25a62c-da01-445d-af5e-c245484765dd" elementFormDefault="qualified">
    <xsd:import namespace="http://schemas.microsoft.com/office/2006/documentManagement/types"/>
    <xsd:import namespace="http://schemas.microsoft.com/office/infopath/2007/PartnerControls"/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9" nillable="true" ma:displayName="Tags" ma:internalName="MediaServiceAutoTags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4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3ded00-78ba-41d4-a40b-e947e0b7558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7bc43322-b630-4bac-8b27-31def233d1d0" ContentTypeId="0x0101" PreviousValue="fals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a4d292e-883c-434b-96e3-060cfff16c86">
      <Value>1</Value>
    </TaxCatchAll>
    <_dlc_ExpireDateSaved xmlns="http://schemas.microsoft.com/sharepoint/v3" xsi:nil="true"/>
    <_dlc_ExpireDate xmlns="http://schemas.microsoft.com/sharepoint/v3" xsi:nil="true"/>
    <_dlc_Exempt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4730D1D-27E1-47CB-8675-16B0B398A51B}"/>
</file>

<file path=customXml/itemProps2.xml><?xml version="1.0" encoding="utf-8"?>
<ds:datastoreItem xmlns:ds="http://schemas.openxmlformats.org/officeDocument/2006/customXml" ds:itemID="{6262B1AA-EF24-4EA4-A758-C3C5C4C6A8E4}"/>
</file>

<file path=customXml/itemProps3.xml><?xml version="1.0" encoding="utf-8"?>
<ds:datastoreItem xmlns:ds="http://schemas.openxmlformats.org/officeDocument/2006/customXml" ds:itemID="{027053C8-9F8C-4330-A391-91CD8ACBABAD}"/>
</file>

<file path=customXml/itemProps4.xml><?xml version="1.0" encoding="utf-8"?>
<ds:datastoreItem xmlns:ds="http://schemas.openxmlformats.org/officeDocument/2006/customXml" ds:itemID="{206D7D02-C87E-4D92-A3B0-1899977A26F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Washington</vt:lpstr>
      <vt:lpstr>Rebates</vt:lpstr>
      <vt:lpstr>Golf Sell Sheet</vt:lpstr>
      <vt:lpstr>Lawn Sell Sheet</vt:lpstr>
      <vt:lpstr>Rebates!GraduatedRebate</vt:lpstr>
      <vt:lpstr>Washington!National_Header</vt:lpstr>
      <vt:lpstr>Washington!National_ProductForm</vt:lpstr>
      <vt:lpstr>Washington!National_Summary</vt:lpstr>
      <vt:lpstr>Rebates!PluginStatus</vt:lpstr>
      <vt:lpstr>Rebates!TotalPurchase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McNamara</dc:creator>
  <cp:lastModifiedBy>Robert McNamara</cp:lastModifiedBy>
  <dcterms:created xsi:type="dcterms:W3CDTF">2021-09-07T21:38:55Z</dcterms:created>
  <dcterms:modified xsi:type="dcterms:W3CDTF">2021-09-07T22:13:56Z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c76c141-ac86-40e5-abf2-c6f60e474cee_Enabled">
    <vt:lpwstr>True</vt:lpwstr>
  </property>
  <property fmtid="{D5CDD505-2E9C-101B-9397-08002B2CF9AE}" pid="3" name="MSIP_Label_2c76c141-ac86-40e5-abf2-c6f60e474cee_SiteId">
    <vt:lpwstr>fcb2b37b-5da0-466b-9b83-0014b67a7c78</vt:lpwstr>
  </property>
  <property fmtid="{D5CDD505-2E9C-101B-9397-08002B2CF9AE}" pid="4" name="MSIP_Label_2c76c141-ac86-40e5-abf2-c6f60e474cee_Owner">
    <vt:lpwstr>robert.mcnamara@bayer.com</vt:lpwstr>
  </property>
  <property fmtid="{D5CDD505-2E9C-101B-9397-08002B2CF9AE}" pid="5" name="MSIP_Label_2c76c141-ac86-40e5-abf2-c6f60e474cee_SetDate">
    <vt:lpwstr>2021-09-07T22:08:34.2259452Z</vt:lpwstr>
  </property>
  <property fmtid="{D5CDD505-2E9C-101B-9397-08002B2CF9AE}" pid="6" name="MSIP_Label_2c76c141-ac86-40e5-abf2-c6f60e474cee_Name">
    <vt:lpwstr>RESTRICTED</vt:lpwstr>
  </property>
  <property fmtid="{D5CDD505-2E9C-101B-9397-08002B2CF9AE}" pid="7" name="MSIP_Label_2c76c141-ac86-40e5-abf2-c6f60e474cee_Application">
    <vt:lpwstr>Microsoft Azure Information Protection</vt:lpwstr>
  </property>
  <property fmtid="{D5CDD505-2E9C-101B-9397-08002B2CF9AE}" pid="8" name="MSIP_Label_2c76c141-ac86-40e5-abf2-c6f60e474cee_Extended_MSFT_Method">
    <vt:lpwstr>Automatic</vt:lpwstr>
  </property>
  <property fmtid="{D5CDD505-2E9C-101B-9397-08002B2CF9AE}" pid="9" name="Sensitivity">
    <vt:lpwstr>RESTRICTED</vt:lpwstr>
  </property>
  <property fmtid="{D5CDD505-2E9C-101B-9397-08002B2CF9AE}" pid="10" name="ContentTypeId">
    <vt:lpwstr>0x0101005FBE374640DB3F429090B8F33EB7D9BA</vt:lpwstr>
  </property>
  <property fmtid="{D5CDD505-2E9C-101B-9397-08002B2CF9AE}" pid="11" name="c2b5fb8256bd435bb7806ac3891e195b">
    <vt:lpwstr>Short-Term|6d967203-8346-4b9c-90f8-b3828a3fa508</vt:lpwstr>
  </property>
  <property fmtid="{D5CDD505-2E9C-101B-9397-08002B2CF9AE}" pid="12" name="DataClassBayerRetention">
    <vt:lpwstr>1;#Short-Term|6d967203-8346-4b9c-90f8-b3828a3fa508</vt:lpwstr>
  </property>
</Properties>
</file>