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ilburellis-my.sharepoint.com/personal/lmerriga_wilburellis_com/Documents/Documents/Bayer/"/>
    </mc:Choice>
  </mc:AlternateContent>
  <xr:revisionPtr revIDLastSave="0" documentId="8_{0EDE357A-49B9-47E0-A725-C3C250097C61}" xr6:coauthVersionLast="47" xr6:coauthVersionMax="47" xr10:uidLastSave="{00000000-0000-0000-0000-000000000000}"/>
  <workbookProtection workbookAlgorithmName="SHA-512" workbookHashValue="UyvdE6ep8e8RVlkSiamY3eH3CtWNc6IRraZrBkYp/AxaAZps5STj7+tLV1KZekGJuq2GC7ce/WdYdhtAwTOijg==" workbookSaltValue="CB72riwWEOSsoAieFMEBEQ==" workbookSpinCount="100000" lockStructure="1"/>
  <bookViews>
    <workbookView xWindow="38280" yWindow="-120" windowWidth="38640" windowHeight="15840" xr2:uid="{47E820C8-F8DF-412E-8B73-FB77A2B9CF60}"/>
  </bookViews>
  <sheets>
    <sheet name="NOW-CALCULATOR" sheetId="1" r:id="rId1"/>
    <sheet name="PRINT YOUR ORDER" sheetId="3" r:id="rId2"/>
    <sheet name="NATIONAL GOLF FLYER" sheetId="4" r:id="rId3"/>
    <sheet name="NATIONAL LAWN FLYER" sheetId="5" r:id="rId4"/>
    <sheet name="QUICK REFERENCE" sheetId="6" r:id="rId5"/>
    <sheet name="Rebates" sheetId="2" state="hidden" r:id="rId6"/>
  </sheets>
  <definedNames>
    <definedName name="California_Header">#REF!</definedName>
    <definedName name="California_ProductForm">#REF!</definedName>
    <definedName name="California_Summary">#REF!</definedName>
    <definedName name="GraduatedRebate" localSheetId="5">Rebates!$F$4:$K$10</definedName>
    <definedName name="National_Header">'NOW-CALCULATOR'!$A$3:$D$8</definedName>
    <definedName name="National_ProductForm">'NOW-CALCULATOR'!$A$15:$AI$81</definedName>
    <definedName name="National_Summary">'NOW-CALCULATOR'!$A$83:$E$97</definedName>
    <definedName name="NYNassauSuffolk_Header">#REF!</definedName>
    <definedName name="NYNassauSuffolk_ProductForm">#REF!</definedName>
    <definedName name="NYNassauSuffolk_Summary">#REF!</definedName>
    <definedName name="PluginStatus" localSheetId="5">Rebates!$B$4:$D$14</definedName>
    <definedName name="TotalPurchase" localSheetId="5">Rebates!$M$4:$P$9</definedName>
    <definedName name="Washington_Header">#REF!</definedName>
    <definedName name="Washington_ProductForm">#REF!</definedName>
    <definedName name="Washington_Summar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9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E95" i="1"/>
  <c r="AD29" i="1"/>
  <c r="K29" i="1" s="1"/>
  <c r="K35" i="2"/>
  <c r="K34" i="2"/>
  <c r="N34" i="2"/>
  <c r="AD25" i="1"/>
  <c r="K25" i="1" s="1"/>
  <c r="J21" i="1"/>
  <c r="I81" i="1" l="1"/>
  <c r="B4" i="3" l="1"/>
  <c r="B5" i="3"/>
  <c r="B7" i="3"/>
  <c r="B3" i="3"/>
  <c r="A2" i="3"/>
  <c r="AC26" i="1" l="1"/>
  <c r="AD38" i="1" l="1"/>
  <c r="K38" i="1" s="1"/>
  <c r="K44" i="2"/>
  <c r="AD39" i="1"/>
  <c r="K39" i="1" s="1"/>
  <c r="I39" i="2"/>
  <c r="AD33" i="1"/>
  <c r="K33" i="1" s="1"/>
  <c r="AD30" i="1"/>
  <c r="K30" i="1" s="1"/>
  <c r="AD24" i="1"/>
  <c r="K24" i="1" s="1"/>
  <c r="G19" i="1"/>
  <c r="AD22" i="1"/>
  <c r="K22" i="1" s="1"/>
  <c r="K29" i="2"/>
  <c r="AD19" i="1" l="1"/>
  <c r="K19" i="1" s="1"/>
  <c r="I27" i="2"/>
  <c r="K27" i="2"/>
  <c r="AP14" i="1"/>
  <c r="AP13" i="1"/>
  <c r="T49" i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AP114" i="1"/>
  <c r="AP37" i="1"/>
  <c r="G39" i="1"/>
  <c r="E33" i="3"/>
  <c r="T39" i="1"/>
  <c r="U39" i="1" s="1"/>
  <c r="AH39" i="1"/>
  <c r="AD23" i="1"/>
  <c r="AD21" i="1"/>
  <c r="I43" i="2"/>
  <c r="I35" i="2"/>
  <c r="I34" i="2"/>
  <c r="I33" i="2"/>
  <c r="K49" i="2"/>
  <c r="K37" i="2"/>
  <c r="K32" i="2"/>
  <c r="K31" i="2"/>
  <c r="AH23" i="1"/>
  <c r="AH24" i="1"/>
  <c r="T24" i="1"/>
  <c r="U24" i="1" s="1"/>
  <c r="T23" i="1"/>
  <c r="U23" i="1" s="1"/>
  <c r="E17" i="3"/>
  <c r="G24" i="1"/>
  <c r="G23" i="1"/>
  <c r="V19" i="1"/>
  <c r="J19" i="1" l="1"/>
  <c r="E18" i="3"/>
  <c r="C34" i="3"/>
  <c r="AP125" i="1"/>
  <c r="AP126" i="1"/>
  <c r="AP115" i="1"/>
  <c r="AP100" i="1"/>
  <c r="AP99" i="1"/>
  <c r="AP89" i="1"/>
  <c r="AP88" i="1"/>
  <c r="AP36" i="1"/>
  <c r="AP25" i="1"/>
  <c r="E81" i="1"/>
  <c r="AP24" i="1"/>
  <c r="T69" i="1"/>
  <c r="U69" i="1" s="1"/>
  <c r="M69" i="1"/>
  <c r="G69" i="1"/>
  <c r="F69" i="1"/>
  <c r="T68" i="1"/>
  <c r="U68" i="1" s="1"/>
  <c r="R68" i="1"/>
  <c r="Q68" i="1"/>
  <c r="P68" i="1"/>
  <c r="O68" i="1"/>
  <c r="M68" i="1"/>
  <c r="G68" i="1"/>
  <c r="F68" i="1"/>
  <c r="T67" i="1"/>
  <c r="U67" i="1" s="1"/>
  <c r="R67" i="1"/>
  <c r="Q67" i="1"/>
  <c r="P67" i="1"/>
  <c r="O67" i="1"/>
  <c r="M67" i="1"/>
  <c r="G67" i="1"/>
  <c r="F67" i="1"/>
  <c r="T66" i="1"/>
  <c r="U66" i="1" s="1"/>
  <c r="R66" i="1"/>
  <c r="Q66" i="1"/>
  <c r="P66" i="1"/>
  <c r="O66" i="1"/>
  <c r="M66" i="1"/>
  <c r="G66" i="1"/>
  <c r="F66" i="1"/>
  <c r="T65" i="1"/>
  <c r="U65" i="1" s="1"/>
  <c r="R65" i="1"/>
  <c r="Q65" i="1"/>
  <c r="P65" i="1"/>
  <c r="O65" i="1"/>
  <c r="M65" i="1"/>
  <c r="G65" i="1"/>
  <c r="F65" i="1"/>
  <c r="T64" i="1"/>
  <c r="U64" i="1" s="1"/>
  <c r="R64" i="1"/>
  <c r="P64" i="1"/>
  <c r="O64" i="1"/>
  <c r="M64" i="1"/>
  <c r="G64" i="1"/>
  <c r="F64" i="1"/>
  <c r="T63" i="1"/>
  <c r="U63" i="1" s="1"/>
  <c r="R63" i="1"/>
  <c r="Q63" i="1"/>
  <c r="P63" i="1"/>
  <c r="O63" i="1"/>
  <c r="M63" i="1"/>
  <c r="G63" i="1"/>
  <c r="F63" i="1"/>
  <c r="T62" i="1"/>
  <c r="U62" i="1" s="1"/>
  <c r="R62" i="1"/>
  <c r="Q62" i="1"/>
  <c r="P62" i="1"/>
  <c r="O62" i="1"/>
  <c r="M62" i="1"/>
  <c r="G62" i="1"/>
  <c r="F62" i="1"/>
  <c r="T61" i="1"/>
  <c r="U61" i="1" s="1"/>
  <c r="R61" i="1"/>
  <c r="P61" i="1"/>
  <c r="O61" i="1"/>
  <c r="M61" i="1"/>
  <c r="G61" i="1"/>
  <c r="F61" i="1"/>
  <c r="T60" i="1"/>
  <c r="U60" i="1" s="1"/>
  <c r="R60" i="1"/>
  <c r="P60" i="1"/>
  <c r="O60" i="1"/>
  <c r="M60" i="1"/>
  <c r="G60" i="1"/>
  <c r="F60" i="1"/>
  <c r="T59" i="1"/>
  <c r="U59" i="1" s="1"/>
  <c r="R59" i="1"/>
  <c r="P59" i="1"/>
  <c r="O59" i="1"/>
  <c r="M59" i="1"/>
  <c r="G59" i="1"/>
  <c r="F59" i="1"/>
  <c r="T58" i="1"/>
  <c r="U58" i="1" s="1"/>
  <c r="R58" i="1"/>
  <c r="Q58" i="1"/>
  <c r="P58" i="1"/>
  <c r="O58" i="1"/>
  <c r="M58" i="1"/>
  <c r="G58" i="1"/>
  <c r="F58" i="1"/>
  <c r="T57" i="1"/>
  <c r="U57" i="1" s="1"/>
  <c r="R57" i="1"/>
  <c r="Q57" i="1"/>
  <c r="P57" i="1"/>
  <c r="O57" i="1"/>
  <c r="M57" i="1"/>
  <c r="G57" i="1"/>
  <c r="F57" i="1"/>
  <c r="T56" i="1"/>
  <c r="U56" i="1" s="1"/>
  <c r="R56" i="1"/>
  <c r="Q56" i="1"/>
  <c r="P56" i="1"/>
  <c r="O56" i="1"/>
  <c r="M56" i="1"/>
  <c r="G56" i="1"/>
  <c r="F56" i="1"/>
  <c r="T55" i="1"/>
  <c r="U55" i="1" s="1"/>
  <c r="R55" i="1"/>
  <c r="P55" i="1"/>
  <c r="O55" i="1"/>
  <c r="M55" i="1"/>
  <c r="G55" i="1"/>
  <c r="F55" i="1"/>
  <c r="T54" i="1"/>
  <c r="U54" i="1" s="1"/>
  <c r="R54" i="1"/>
  <c r="Q54" i="1"/>
  <c r="P54" i="1"/>
  <c r="O54" i="1"/>
  <c r="M54" i="1"/>
  <c r="G54" i="1"/>
  <c r="F54" i="1"/>
  <c r="T53" i="1"/>
  <c r="U53" i="1" s="1"/>
  <c r="R53" i="1"/>
  <c r="P53" i="1"/>
  <c r="O53" i="1"/>
  <c r="M53" i="1"/>
  <c r="G53" i="1"/>
  <c r="F53" i="1"/>
  <c r="T52" i="1"/>
  <c r="U52" i="1" s="1"/>
  <c r="R52" i="1"/>
  <c r="Q52" i="1"/>
  <c r="P52" i="1"/>
  <c r="O52" i="1"/>
  <c r="M52" i="1"/>
  <c r="G52" i="1"/>
  <c r="F52" i="1"/>
  <c r="T51" i="1"/>
  <c r="U51" i="1" s="1"/>
  <c r="R51" i="1"/>
  <c r="P51" i="1"/>
  <c r="O51" i="1"/>
  <c r="M51" i="1"/>
  <c r="G51" i="1"/>
  <c r="F51" i="1"/>
  <c r="T50" i="1"/>
  <c r="U50" i="1" s="1"/>
  <c r="R50" i="1"/>
  <c r="Q50" i="1"/>
  <c r="P50" i="1"/>
  <c r="O50" i="1"/>
  <c r="M50" i="1"/>
  <c r="G50" i="1"/>
  <c r="F50" i="1"/>
  <c r="N49" i="1"/>
  <c r="O49" i="1" s="1"/>
  <c r="M49" i="1"/>
  <c r="G49" i="1"/>
  <c r="F49" i="1"/>
  <c r="T48" i="1"/>
  <c r="U48" i="1" s="1"/>
  <c r="R48" i="1"/>
  <c r="P48" i="1"/>
  <c r="O48" i="1"/>
  <c r="M48" i="1"/>
  <c r="G48" i="1"/>
  <c r="F48" i="1"/>
  <c r="T47" i="1"/>
  <c r="U47" i="1" s="1"/>
  <c r="M47" i="1"/>
  <c r="G47" i="1"/>
  <c r="F47" i="1"/>
  <c r="T46" i="1"/>
  <c r="U46" i="1" s="1"/>
  <c r="R46" i="1"/>
  <c r="Q46" i="1"/>
  <c r="P46" i="1"/>
  <c r="O46" i="1"/>
  <c r="M46" i="1"/>
  <c r="G46" i="1"/>
  <c r="F46" i="1"/>
  <c r="T45" i="1"/>
  <c r="U45" i="1" s="1"/>
  <c r="R45" i="1"/>
  <c r="P45" i="1"/>
  <c r="O45" i="1"/>
  <c r="M45" i="1"/>
  <c r="G45" i="1"/>
  <c r="F45" i="1"/>
  <c r="T44" i="1"/>
  <c r="U44" i="1" s="1"/>
  <c r="R44" i="1"/>
  <c r="P44" i="1"/>
  <c r="O44" i="1"/>
  <c r="M44" i="1"/>
  <c r="G44" i="1"/>
  <c r="F44" i="1"/>
  <c r="AH38" i="1"/>
  <c r="T38" i="1"/>
  <c r="U38" i="1" s="1"/>
  <c r="E32" i="3"/>
  <c r="G38" i="1"/>
  <c r="AH37" i="1"/>
  <c r="T37" i="1"/>
  <c r="U37" i="1" s="1"/>
  <c r="E31" i="3"/>
  <c r="G37" i="1"/>
  <c r="AH36" i="1"/>
  <c r="T36" i="1"/>
  <c r="U36" i="1" s="1"/>
  <c r="E30" i="3"/>
  <c r="G36" i="1"/>
  <c r="AH35" i="1"/>
  <c r="T35" i="1"/>
  <c r="U35" i="1" s="1"/>
  <c r="E29" i="3"/>
  <c r="G35" i="1"/>
  <c r="AH34" i="1"/>
  <c r="T34" i="1"/>
  <c r="U34" i="1" s="1"/>
  <c r="E28" i="3"/>
  <c r="G34" i="1"/>
  <c r="AH33" i="1"/>
  <c r="T33" i="1"/>
  <c r="U33" i="1" s="1"/>
  <c r="E27" i="3"/>
  <c r="G33" i="1"/>
  <c r="AH32" i="1"/>
  <c r="AD32" i="1"/>
  <c r="T32" i="1"/>
  <c r="U32" i="1" s="1"/>
  <c r="E26" i="3"/>
  <c r="G32" i="1"/>
  <c r="AH31" i="1"/>
  <c r="T31" i="1"/>
  <c r="U31" i="1" s="1"/>
  <c r="E25" i="3"/>
  <c r="G31" i="1"/>
  <c r="AH30" i="1"/>
  <c r="T30" i="1"/>
  <c r="U30" i="1" s="1"/>
  <c r="E24" i="3"/>
  <c r="G30" i="1"/>
  <c r="AH29" i="1"/>
  <c r="T29" i="1"/>
  <c r="U29" i="1" s="1"/>
  <c r="E23" i="3"/>
  <c r="G29" i="1"/>
  <c r="AH28" i="1"/>
  <c r="AD28" i="1"/>
  <c r="K28" i="1" s="1"/>
  <c r="T28" i="1"/>
  <c r="U28" i="1" s="1"/>
  <c r="E22" i="3"/>
  <c r="G28" i="1"/>
  <c r="AH27" i="1"/>
  <c r="T27" i="1"/>
  <c r="U27" i="1" s="1"/>
  <c r="E21" i="3"/>
  <c r="G27" i="1"/>
  <c r="AH26" i="1"/>
  <c r="T26" i="1"/>
  <c r="U26" i="1" s="1"/>
  <c r="E20" i="3"/>
  <c r="G26" i="1"/>
  <c r="AH25" i="1"/>
  <c r="T25" i="1"/>
  <c r="U25" i="1" s="1"/>
  <c r="E19" i="3"/>
  <c r="G25" i="1"/>
  <c r="AH22" i="1"/>
  <c r="T22" i="1"/>
  <c r="U22" i="1" s="1"/>
  <c r="E16" i="3"/>
  <c r="G22" i="1"/>
  <c r="AH21" i="1"/>
  <c r="T21" i="1"/>
  <c r="U21" i="1" s="1"/>
  <c r="E15" i="3"/>
  <c r="G21" i="1"/>
  <c r="AH20" i="1"/>
  <c r="AD20" i="1"/>
  <c r="T20" i="1"/>
  <c r="U20" i="1" s="1"/>
  <c r="E14" i="3"/>
  <c r="G20" i="1"/>
  <c r="AH19" i="1"/>
  <c r="T19" i="1"/>
  <c r="U19" i="1" s="1"/>
  <c r="V37" i="1"/>
  <c r="V28" i="1"/>
  <c r="V20" i="1"/>
  <c r="V30" i="1"/>
  <c r="V29" i="1"/>
  <c r="J37" i="1" l="1"/>
  <c r="J30" i="1"/>
  <c r="J29" i="1"/>
  <c r="J28" i="1"/>
  <c r="J20" i="1"/>
  <c r="AH81" i="1"/>
  <c r="AC81" i="1" s="1"/>
  <c r="AC33" i="1" s="1"/>
  <c r="N69" i="1"/>
  <c r="O69" i="1" s="1"/>
  <c r="P69" i="1" s="1"/>
  <c r="G81" i="1"/>
  <c r="E88" i="1" s="1"/>
  <c r="E91" i="1" l="1"/>
  <c r="AC31" i="1"/>
  <c r="AC37" i="1"/>
  <c r="AC27" i="1"/>
  <c r="AC28" i="1"/>
  <c r="AC29" i="1"/>
  <c r="W37" i="1"/>
  <c r="N36" i="1"/>
  <c r="O36" i="1" s="1"/>
  <c r="P36" i="1" s="1"/>
  <c r="N35" i="1"/>
  <c r="O35" i="1" s="1"/>
  <c r="P35" i="1" s="1"/>
  <c r="F29" i="3" s="1"/>
  <c r="N34" i="1"/>
  <c r="O34" i="1" s="1"/>
  <c r="P34" i="1" s="1"/>
  <c r="F28" i="3" s="1"/>
  <c r="W25" i="1"/>
  <c r="W24" i="1"/>
  <c r="W23" i="1"/>
  <c r="AC24" i="1"/>
  <c r="AC23" i="1"/>
  <c r="AC30" i="1"/>
  <c r="AC32" i="1"/>
  <c r="R69" i="1"/>
  <c r="AC20" i="1"/>
  <c r="AC39" i="1"/>
  <c r="W39" i="1"/>
  <c r="E39" i="3"/>
  <c r="AC38" i="1"/>
  <c r="AC22" i="1"/>
  <c r="AC21" i="1"/>
  <c r="AC25" i="1"/>
  <c r="AC19" i="1"/>
  <c r="N53" i="1"/>
  <c r="N54" i="1"/>
  <c r="N48" i="1"/>
  <c r="W22" i="1"/>
  <c r="W21" i="1"/>
  <c r="N52" i="1"/>
  <c r="W29" i="1"/>
  <c r="N44" i="1"/>
  <c r="N46" i="1"/>
  <c r="W66" i="1"/>
  <c r="N66" i="1" s="1"/>
  <c r="N59" i="1"/>
  <c r="W38" i="1"/>
  <c r="W19" i="1"/>
  <c r="W28" i="1"/>
  <c r="W20" i="1"/>
  <c r="N57" i="1"/>
  <c r="N45" i="1"/>
  <c r="N47" i="1"/>
  <c r="O47" i="1" s="1"/>
  <c r="P47" i="1" s="1"/>
  <c r="N63" i="1"/>
  <c r="N58" i="1"/>
  <c r="W31" i="1"/>
  <c r="W33" i="1"/>
  <c r="W26" i="1"/>
  <c r="N56" i="1"/>
  <c r="W32" i="1"/>
  <c r="N51" i="1"/>
  <c r="N55" i="1"/>
  <c r="N62" i="1"/>
  <c r="N64" i="1"/>
  <c r="W30" i="1"/>
  <c r="N60" i="1"/>
  <c r="W27" i="1"/>
  <c r="N65" i="1"/>
  <c r="N68" i="1"/>
  <c r="N61" i="1"/>
  <c r="N67" i="1"/>
  <c r="N50" i="1"/>
  <c r="N31" i="1" l="1"/>
  <c r="O31" i="1" s="1"/>
  <c r="P31" i="1" s="1"/>
  <c r="F25" i="3" s="1"/>
  <c r="R31" i="1"/>
  <c r="N39" i="1"/>
  <c r="O39" i="1" s="1"/>
  <c r="P39" i="1" s="1"/>
  <c r="N37" i="1"/>
  <c r="O37" i="1" s="1"/>
  <c r="P37" i="1" s="1"/>
  <c r="F31" i="3" s="1"/>
  <c r="N22" i="1"/>
  <c r="O22" i="1" s="1"/>
  <c r="P22" i="1" s="1"/>
  <c r="N29" i="1"/>
  <c r="O29" i="1" s="1"/>
  <c r="P29" i="1" s="1"/>
  <c r="F23" i="3" s="1"/>
  <c r="R34" i="1"/>
  <c r="R35" i="1"/>
  <c r="F30" i="3"/>
  <c r="R36" i="1"/>
  <c r="R47" i="1"/>
  <c r="N23" i="1"/>
  <c r="O23" i="1" s="1"/>
  <c r="P23" i="1" s="1"/>
  <c r="F17" i="3" s="1"/>
  <c r="N24" i="1"/>
  <c r="O24" i="1" s="1"/>
  <c r="P24" i="1" s="1"/>
  <c r="F18" i="3" s="1"/>
  <c r="R23" i="1"/>
  <c r="N28" i="1"/>
  <c r="O28" i="1" s="1"/>
  <c r="P28" i="1" s="1"/>
  <c r="F22" i="3" s="1"/>
  <c r="N30" i="1"/>
  <c r="O30" i="1" s="1"/>
  <c r="P30" i="1" s="1"/>
  <c r="F24" i="3" s="1"/>
  <c r="N33" i="1"/>
  <c r="O33" i="1" s="1"/>
  <c r="P33" i="1" s="1"/>
  <c r="F27" i="3" s="1"/>
  <c r="N32" i="1"/>
  <c r="O32" i="1" s="1"/>
  <c r="P32" i="1" s="1"/>
  <c r="R32" i="1" s="1"/>
  <c r="N26" i="1"/>
  <c r="O26" i="1" s="1"/>
  <c r="P26" i="1" s="1"/>
  <c r="N27" i="1"/>
  <c r="O27" i="1" s="1"/>
  <c r="P27" i="1" s="1"/>
  <c r="F21" i="3" s="1"/>
  <c r="N19" i="1"/>
  <c r="N20" i="1"/>
  <c r="O20" i="1" s="1"/>
  <c r="P20" i="1" s="1"/>
  <c r="N38" i="1"/>
  <c r="O38" i="1" s="1"/>
  <c r="P38" i="1" s="1"/>
  <c r="N25" i="1"/>
  <c r="O25" i="1" s="1"/>
  <c r="P25" i="1" s="1"/>
  <c r="N21" i="1"/>
  <c r="O21" i="1" s="1"/>
  <c r="P21" i="1" s="1"/>
  <c r="R27" i="1" l="1"/>
  <c r="R37" i="1"/>
  <c r="R28" i="1"/>
  <c r="R24" i="1"/>
  <c r="O19" i="1"/>
  <c r="P19" i="1" s="1"/>
  <c r="R29" i="1"/>
  <c r="R30" i="1"/>
  <c r="R33" i="1"/>
  <c r="F26" i="3"/>
  <c r="F20" i="3"/>
  <c r="R26" i="1"/>
  <c r="R21" i="1"/>
  <c r="F15" i="3"/>
  <c r="R22" i="1"/>
  <c r="F16" i="3"/>
  <c r="R25" i="1"/>
  <c r="F19" i="3"/>
  <c r="R39" i="1"/>
  <c r="F33" i="3"/>
  <c r="R38" i="1"/>
  <c r="F32" i="3"/>
  <c r="O81" i="1" l="1"/>
  <c r="R20" i="1"/>
  <c r="F14" i="3"/>
  <c r="E92" i="1" l="1"/>
  <c r="E42" i="3" l="1"/>
  <c r="A46" i="3" s="1"/>
  <c r="A97" i="1"/>
  <c r="M81" i="1" l="1"/>
  <c r="E13" i="3"/>
  <c r="E34" i="3" s="1"/>
  <c r="F13" i="3" l="1"/>
  <c r="R19" i="1"/>
  <c r="R81" i="1" s="1"/>
  <c r="E93" i="1" s="1"/>
  <c r="E43" i="3" s="1"/>
  <c r="E90" i="1"/>
  <c r="E96" i="1" s="1"/>
  <c r="E89" i="1"/>
  <c r="E40" i="3" s="1"/>
  <c r="E94" i="1"/>
  <c r="E44" i="3" s="1"/>
  <c r="E41" i="3" l="1"/>
  <c r="E4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stage.maverick.bayer.us</author>
    <author>Robert McNamara</author>
    <author>Mark Ford</author>
  </authors>
  <commentList>
    <comment ref="E19" authorId="0" shapeId="0" xr:uid="{3A25C1E5-1B4A-4322-8473-8588C9715DC1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To qualify for this item's select rebate of $64, you must add minimum of 4 units. Pair with with Chipco Signature or Signature XTRA for an additional rebate of $25 per unit. See pairing charts to right for details.</t>
        </r>
      </text>
    </comment>
    <comment ref="E20" authorId="1" shapeId="0" xr:uid="{57A6E08D-7361-4993-B56D-89FA92CBC54E}">
      <text>
        <r>
          <rPr>
            <b/>
            <u/>
            <sz val="9"/>
            <color indexed="81"/>
            <rFont val="Tahoma"/>
            <family val="2"/>
          </rPr>
          <t>Rebate Finder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Note: To qualify for this item's select rebate of $5, you must add minimum of 8 units.
</t>
        </r>
      </text>
    </comment>
    <comment ref="E22" authorId="2" shapeId="0" xr:uid="{EF05B7F7-E14E-4DFE-835D-8317A7D46FEE}">
      <text>
        <r>
          <rPr>
            <b/>
            <sz val="9"/>
            <color indexed="81"/>
            <rFont val="Tahoma"/>
            <family val="2"/>
          </rPr>
          <t xml:space="preserve">Rebate Finder
</t>
        </r>
        <r>
          <rPr>
            <sz val="9"/>
            <color indexed="81"/>
            <rFont val="Tahoma"/>
            <family val="2"/>
          </rPr>
          <t>Pair with 3+ cases of Chipco Signature with 4 units of Banol to receive an additional rebate of $30 per case of Chipco Signature</t>
        </r>
      </text>
    </comment>
    <comment ref="E24" authorId="2" shapeId="0" xr:uid="{1B1C709A-CF31-46C0-B4A7-E95B47A28606}">
      <text>
        <r>
          <rPr>
            <b/>
            <sz val="9"/>
            <color indexed="81"/>
            <rFont val="Tahoma"/>
            <family val="2"/>
          </rPr>
          <t>Rebate Finder</t>
        </r>
        <r>
          <rPr>
            <sz val="9"/>
            <color indexed="81"/>
            <rFont val="Tahoma"/>
            <family val="2"/>
          </rPr>
          <t xml:space="preserve">
Pair 12+ bottles of Chipco Signature with 4 units of Banol to receive an additional rebate of $7.50 per bottle of Chipco Signature
</t>
        </r>
      </text>
    </comment>
    <comment ref="E25" authorId="2" shapeId="0" xr:uid="{234570D4-156D-4C75-9C7C-CE9C78FE75DF}">
      <text>
        <r>
          <rPr>
            <b/>
            <sz val="9"/>
            <color indexed="81"/>
            <rFont val="Tahoma"/>
            <family val="2"/>
          </rPr>
          <t xml:space="preserve">Rebate finder:
</t>
        </r>
        <r>
          <rPr>
            <sz val="9"/>
            <color indexed="81"/>
            <rFont val="Tahoma"/>
            <family val="2"/>
          </rPr>
          <t xml:space="preserve">Pair 4+ units with 4+ units of Tetrino to receive a pairing rebate of $30 per unit
</t>
        </r>
      </text>
    </comment>
    <comment ref="E28" authorId="0" shapeId="0" xr:uid="{4C917CB1-CFF2-462A-B9ED-320B694CEE69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To qualify for this item's select rebate of $25, you must add minimum of 2 units. Pair 6+ units with 2 units of Mirage for an additional rebate of $21 per bottle.</t>
        </r>
      </text>
    </comment>
    <comment ref="E29" authorId="0" shapeId="0" xr:uid="{C36E226A-8A6F-46D8-9BE9-E07F12754A6D}">
      <text>
        <r>
          <rPr>
            <b/>
            <u/>
            <sz val="9"/>
            <color rgb="FF000000"/>
            <rFont val="Tahoma"/>
            <family val="2"/>
          </rPr>
          <t xml:space="preserve">Rebate Finder
</t>
        </r>
        <r>
          <rPr>
            <sz val="9"/>
            <color rgb="FF000000"/>
            <rFont val="Tahoma"/>
            <family val="2"/>
          </rPr>
          <t>Note: To qualify for this item's select rebateof $25, you must add minimum of 2 units. Pair 6+ units with 2 units of Mirage for an additional rebate of $21 per bottle.</t>
        </r>
      </text>
    </comment>
    <comment ref="E30" authorId="0" shapeId="0" xr:uid="{7A0B76BA-DCA8-4B37-94B4-B7477505761B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To qualify for this item's select rebate $5, you must add minimum of 1 unit. Pair 2+ units with 6+ units of Interface to receive a $21 rebate per unit of Mirage.</t>
        </r>
      </text>
    </comment>
    <comment ref="E32" authorId="0" shapeId="0" xr:uid="{0CB07B8F-2037-4CC5-80C1-890E0CBC67B1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Earn a pairing rebate of $9/bottle for 24+ units purchased with 4+ units of Banol.</t>
        </r>
      </text>
    </comment>
    <comment ref="E33" authorId="0" shapeId="0" xr:uid="{EA45D671-A930-43D9-8823-0622D0B00F6D}">
      <text>
        <r>
          <rPr>
            <b/>
            <sz val="9"/>
            <color rgb="FF000000"/>
            <rFont val="Tahoma"/>
            <family val="2"/>
          </rPr>
          <t>Rebate Finder</t>
        </r>
        <r>
          <rPr>
            <u/>
            <sz val="9"/>
            <color rgb="FF000000"/>
            <rFont val="Tahoma"/>
            <family val="2"/>
          </rPr>
          <t xml:space="preserve">
Note: Earn a pairing rebate of $9/bottle for 24+ units purchased with 4+ units of Banol.</t>
        </r>
      </text>
    </comment>
    <comment ref="E34" authorId="1" shapeId="0" xr:uid="{A76A4E14-7070-454A-82BF-EFB59AB0278C}">
      <text>
        <r>
          <rPr>
            <b/>
            <sz val="9"/>
            <color indexed="81"/>
            <rFont val="Tahoma"/>
            <family val="2"/>
          </rPr>
          <t>Purchases count towards rebate tier, but do not receive tier rebate</t>
        </r>
      </text>
    </comment>
    <comment ref="E35" authorId="1" shapeId="0" xr:uid="{C9C8294E-7203-4736-86AF-C167BC45961E}">
      <text>
        <r>
          <rPr>
            <b/>
            <sz val="9"/>
            <color indexed="81"/>
            <rFont val="Tahoma"/>
            <family val="2"/>
          </rPr>
          <t>Purchases count towards rebate tier, but do not receive tier rebate</t>
        </r>
      </text>
    </comment>
    <comment ref="E36" authorId="1" shapeId="0" xr:uid="{0715C6EA-9978-4737-BFB5-630CAE607C5D}">
      <text>
        <r>
          <rPr>
            <b/>
            <sz val="9"/>
            <color indexed="81"/>
            <rFont val="Tahoma"/>
            <family val="2"/>
          </rPr>
          <t>Purchases count towards rebate tier, but do not receive tier rebate</t>
        </r>
      </text>
    </comment>
    <comment ref="E37" authorId="0" shapeId="0" xr:uid="{AE71B011-4BEB-493F-B642-DCAD0AF8C256}">
      <text>
        <r>
          <rPr>
            <b/>
            <u/>
            <sz val="9"/>
            <color rgb="FF000000"/>
            <rFont val="Tahoma"/>
            <family val="2"/>
          </rPr>
          <t>Rebate Finder</t>
        </r>
        <r>
          <rPr>
            <sz val="9"/>
            <color rgb="FF000000"/>
            <rFont val="Tahoma"/>
            <family val="2"/>
          </rPr>
          <t xml:space="preserve">
Note: To qualify for this item's select rebate of $10, you must add minimum of 20 units.</t>
        </r>
      </text>
    </comment>
    <comment ref="E38" authorId="2" shapeId="0" xr:uid="{8E349228-4345-4E60-869C-C3EA7ED30FFC}">
      <text>
        <r>
          <rPr>
            <b/>
            <sz val="9"/>
            <color indexed="81"/>
            <rFont val="Tahoma"/>
            <family val="2"/>
          </rPr>
          <t xml:space="preserve">Rebate finder:
</t>
        </r>
        <r>
          <rPr>
            <sz val="9"/>
            <color indexed="81"/>
            <rFont val="Tahoma"/>
            <family val="2"/>
          </rPr>
          <t xml:space="preserve">Pair 4+ units with 4+ units of Densicor to receive a pairing rebate of $20 per unit
</t>
        </r>
      </text>
    </comment>
    <comment ref="E39" authorId="2" shapeId="0" xr:uid="{DFF09828-0655-4BB6-A85F-BC468B45083A}">
      <text>
        <r>
          <rPr>
            <b/>
            <sz val="9"/>
            <color indexed="81"/>
            <rFont val="Tahoma"/>
            <family val="2"/>
          </rPr>
          <t xml:space="preserve">Rebate Finder:
</t>
        </r>
        <r>
          <rPr>
            <sz val="9"/>
            <color indexed="81"/>
            <rFont val="Tahoma"/>
            <family val="2"/>
          </rPr>
          <t xml:space="preserve">Pair 6+ units with 2+ units of Specticle FLO to receive $25 pairing rebate.
</t>
        </r>
      </text>
    </comment>
    <comment ref="E69" authorId="1" shapeId="0" xr:uid="{DB417230-9812-4993-A7DC-6D61D0A87206}">
      <text>
        <r>
          <rPr>
            <b/>
            <sz val="9"/>
            <color indexed="81"/>
            <rFont val="Tahoma"/>
            <family val="2"/>
          </rPr>
          <t>Purchases count towards rebate tier, but do not receive tier rebate</t>
        </r>
      </text>
    </comment>
  </commentList>
</comments>
</file>

<file path=xl/sharedStrings.xml><?xml version="1.0" encoding="utf-8"?>
<sst xmlns="http://schemas.openxmlformats.org/spreadsheetml/2006/main" count="640" uniqueCount="343">
  <si>
    <t>MINIMUM</t>
  </si>
  <si>
    <t>MAXIMUM</t>
  </si>
  <si>
    <t>AUG-OCT BONUS</t>
  </si>
  <si>
    <t>BASE + BONUS REBATE %</t>
  </si>
  <si>
    <r>
      <rPr>
        <b/>
        <sz val="10"/>
        <color rgb="FF000000"/>
        <rFont val="Calibri"/>
        <family val="2"/>
      </rPr>
      <t>Description</t>
    </r>
    <r>
      <rPr>
        <sz val="10"/>
        <color rgb="FF000000"/>
        <rFont val="Calibri"/>
        <family val="2"/>
      </rPr>
      <t xml:space="preserve">: </t>
    </r>
  </si>
  <si>
    <r>
      <rPr>
        <b/>
        <sz val="14"/>
        <color rgb="FF064121"/>
        <rFont val="Calibri"/>
        <family val="2"/>
      </rPr>
      <t>Agronomic Pairing Incentives:</t>
    </r>
    <r>
      <rPr>
        <sz val="14"/>
        <color rgb="FF064121"/>
        <rFont val="Calibri"/>
        <family val="2"/>
      </rPr>
      <t xml:space="preserve">
Add the </t>
    </r>
    <r>
      <rPr>
        <b/>
        <u val="double"/>
        <sz val="14"/>
        <color rgb="FF064121"/>
        <rFont val="Calibri"/>
        <family val="2"/>
      </rPr>
      <t>quantity</t>
    </r>
    <r>
      <rPr>
        <sz val="14"/>
        <color rgb="FF064121"/>
        <rFont val="Calibri"/>
        <family val="2"/>
      </rPr>
      <t xml:space="preserve"> of the agronomic solutions to the #units column E for a rebate estimate.</t>
    </r>
  </si>
  <si>
    <r>
      <rPr>
        <b/>
        <sz val="10"/>
        <color rgb="FF000000"/>
        <rFont val="Calibri"/>
        <family val="2"/>
      </rPr>
      <t>Distributor/DSR</t>
    </r>
    <r>
      <rPr>
        <sz val="10"/>
        <color rgb="FF000000"/>
        <rFont val="Calibri"/>
        <family val="2"/>
      </rPr>
      <t xml:space="preserve">: </t>
    </r>
  </si>
  <si>
    <r>
      <rPr>
        <b/>
        <sz val="10"/>
        <color rgb="FF000000"/>
        <rFont val="Calibri"/>
        <family val="2"/>
      </rPr>
      <t>MBR#</t>
    </r>
    <r>
      <rPr>
        <sz val="10"/>
        <color rgb="FF000000"/>
        <rFont val="Calibri"/>
        <family val="2"/>
      </rPr>
      <t xml:space="preserve">: </t>
    </r>
  </si>
  <si>
    <r>
      <rPr>
        <b/>
        <sz val="10"/>
        <color rgb="FF000000"/>
        <rFont val="Calibri"/>
        <family val="2"/>
      </rPr>
      <t>Last Updated</t>
    </r>
    <r>
      <rPr>
        <sz val="10"/>
        <color rgb="FF000000"/>
        <rFont val="Calibri"/>
        <family val="2"/>
      </rPr>
      <t xml:space="preserve">: </t>
    </r>
  </si>
  <si>
    <r>
      <rPr>
        <b/>
        <sz val="10"/>
        <color rgb="FF000000"/>
        <rFont val="Calibri"/>
        <family val="2"/>
      </rPr>
      <t>Created For</t>
    </r>
    <r>
      <rPr>
        <sz val="10"/>
        <color rgb="FF000000"/>
        <rFont val="Calibri"/>
        <family val="2"/>
      </rPr>
      <t xml:space="preserve">: </t>
    </r>
  </si>
  <si>
    <t>Select Rebate</t>
  </si>
  <si>
    <t>Pairing Rebate</t>
  </si>
  <si>
    <t>Agency Products</t>
  </si>
  <si>
    <t>UNIT SIZE</t>
  </si>
  <si>
    <t># UNITS</t>
  </si>
  <si>
    <t>GAL/OZ/LB</t>
  </si>
  <si>
    <t>USE RATE / 1,000 FT2</t>
  </si>
  <si>
    <t>TOTAL ACRES</t>
  </si>
  <si>
    <t>AGENCY PRODUCTS</t>
  </si>
  <si>
    <t>10 oz. bottle</t>
  </si>
  <si>
    <t>REBATE ELIGIBLE</t>
  </si>
  <si>
    <t>PRODUCT ID</t>
  </si>
  <si>
    <t>PRODUCT NAME</t>
  </si>
  <si>
    <t>INSEASON PRICE</t>
  </si>
  <si>
    <t>INSEASON SUBTOTAL</t>
  </si>
  <si>
    <t>PRICE/UNIT</t>
  </si>
  <si>
    <t>SUBTOTAL</t>
  </si>
  <si>
    <t>REBATE %</t>
  </si>
  <si>
    <t>REBATE AMOUNT</t>
  </si>
  <si>
    <t>NET PRICE/UNIT</t>
  </si>
  <si>
    <t>REBATE PRICE/UNIT</t>
  </si>
  <si>
    <t>TOTAL AFTER REBATE</t>
  </si>
  <si>
    <t>USE RATE / ACRE</t>
  </si>
  <si>
    <t>TOTAL ACRES TREATED</t>
  </si>
  <si>
    <t>GRADUATED</t>
  </si>
  <si>
    <t>HIGH VOLUME</t>
  </si>
  <si>
    <t>LIGHTHOUSE</t>
  </si>
  <si>
    <t>MULTIPLE BRAND</t>
  </si>
  <si>
    <t>CATEGORY MIX</t>
  </si>
  <si>
    <t>STRATEGIC BUNDLE</t>
  </si>
  <si>
    <t>VOLUME REBATE</t>
  </si>
  <si>
    <t>PAIRING</t>
  </si>
  <si>
    <t>PRIOR YEAR</t>
  </si>
  <si>
    <t>SALES GROWTH</t>
  </si>
  <si>
    <t>MAX REBATE</t>
  </si>
  <si>
    <t>GRADUATED RANGE</t>
  </si>
  <si>
    <t>1 gal. bottle</t>
  </si>
  <si>
    <t>2 GAL.</t>
  </si>
  <si>
    <t>Non-Agency Products</t>
  </si>
  <si>
    <t>No non-agency products in this solution.</t>
  </si>
  <si>
    <t>bbcbe6c4-9047-423b-99f0-a244017febad</t>
  </si>
  <si>
    <t>Banol®</t>
  </si>
  <si>
    <t>2.5 gal. bottle</t>
  </si>
  <si>
    <t>Rebates!I4:K4</t>
  </si>
  <si>
    <t>541c0a70-a5c3-4665-ac65-274a6bbef5f7</t>
  </si>
  <si>
    <t>Celsius® WG</t>
  </si>
  <si>
    <t>b49e6a56-4067-49e0-99c9-2d0e7006100e</t>
  </si>
  <si>
    <t>Celsius® XTRA</t>
  </si>
  <si>
    <t>Rebates!I18:K18</t>
  </si>
  <si>
    <t>Innovation Solution</t>
  </si>
  <si>
    <t>03211b71-991c-4cfe-8e7a-e26b7b4bf851</t>
  </si>
  <si>
    <t xml:space="preserve">Chipco® Signature™ (1-2 units)  </t>
  </si>
  <si>
    <t>8 X 5.5 lb. case</t>
  </si>
  <si>
    <t>Chipco® Signature™ (3+ units)</t>
  </si>
  <si>
    <t xml:space="preserve">Chipco® Signature™ (1-8 units)  </t>
  </si>
  <si>
    <t>11 lb. bottle</t>
  </si>
  <si>
    <t>Chipco® Signature™ (9+ units)</t>
  </si>
  <si>
    <t>cf80fc95-84cf-4a43-ad35-566d841d8092</t>
  </si>
  <si>
    <t>Densicor®</t>
  </si>
  <si>
    <t>51 oz. bottle</t>
  </si>
  <si>
    <t>bb9fa8d0-6e6d-47ce-b0ff-339138b8c32c</t>
  </si>
  <si>
    <t>Exteris® Stressgard®</t>
  </si>
  <si>
    <t>Densicor® 51 oz. bottle</t>
  </si>
  <si>
    <t>204 FL OZ.</t>
  </si>
  <si>
    <t>04bb62fc-7d6d-4969-8102-baaae9d7ab8f</t>
  </si>
  <si>
    <t>Fiata® Stressgard®</t>
  </si>
  <si>
    <t>Tetrino® 1 gal. bottle</t>
  </si>
  <si>
    <t>1 GAL.</t>
  </si>
  <si>
    <t>93aff452-86a9-4dad-b6b1-b3eca2654a1a</t>
  </si>
  <si>
    <t>Indemnify® (1-5 units)</t>
  </si>
  <si>
    <t>17.1 oz. bottle</t>
  </si>
  <si>
    <t>Indemnify® (6+ units)</t>
  </si>
  <si>
    <t>70bae14d-c623-41e5-be1f-b253040df11b</t>
  </si>
  <si>
    <t>Interface® Stressgard® (1-5 units)</t>
  </si>
  <si>
    <t>Rebates!I5:K6</t>
  </si>
  <si>
    <t>Interface® Stressgard® (6+ units)</t>
  </si>
  <si>
    <t>PRE3 Solution</t>
  </si>
  <si>
    <t>3ecfc763-a4fa-4f2c-8555-2d2b85247f56</t>
  </si>
  <si>
    <t>Merit® 75 WSP Mega Mini</t>
  </si>
  <si>
    <t>110 X 1.6 oz. drum</t>
  </si>
  <si>
    <t>e5cf993c-f4be-4b17-9a11-7be12af96da8</t>
  </si>
  <si>
    <t>Mirage® Stressgard®</t>
  </si>
  <si>
    <t>Rebates!I7:K7</t>
  </si>
  <si>
    <t>45ab34ad-77f7-4bb9-9ade-ac3a8c834e8e</t>
  </si>
  <si>
    <t>Revolver®</t>
  </si>
  <si>
    <t>87 oz. bottle</t>
  </si>
  <si>
    <t xml:space="preserve">Specticle® FLO 1 gal. bottle </t>
  </si>
  <si>
    <t xml:space="preserve">1 gal. bottle </t>
  </si>
  <si>
    <t>1f082954-d8b1-47a3-9296-2f7fde5fd2c5</t>
  </si>
  <si>
    <t>Signature™ XTRA Stressgard® (1-23 units)</t>
  </si>
  <si>
    <t>5.5 lb. bottle</t>
  </si>
  <si>
    <t>Rebates!I8:K9</t>
  </si>
  <si>
    <t>Tribute® Total 6 oz. bottle</t>
  </si>
  <si>
    <t>6 oz. bottle</t>
  </si>
  <si>
    <t>36 FL OZ.</t>
  </si>
  <si>
    <t>Signature™ XTRA Stressgard® (24+ units)</t>
  </si>
  <si>
    <t>e5befeaa-55cf-4e18-a5f9-2906e26590d4</t>
  </si>
  <si>
    <t>Specticle® FLO (1-13 units)</t>
  </si>
  <si>
    <t>Specticle® FLO (14-25 units)</t>
  </si>
  <si>
    <t>Specticle® FLO (26+ units)</t>
  </si>
  <si>
    <t>Pythium Solution</t>
  </si>
  <si>
    <t>08caf272-b02e-4190-848a-f1b1d33ebb26</t>
  </si>
  <si>
    <t>Specticle® G</t>
  </si>
  <si>
    <t>50 lb. bag</t>
  </si>
  <si>
    <t>Rebates!I10:K10</t>
  </si>
  <si>
    <t>eb8e2e44-8d24-45e5-893d-bf9f4e4e5cd9</t>
  </si>
  <si>
    <t>Tartan® Stressgard® (1-5 units)</t>
  </si>
  <si>
    <t>Tartan® Stressgard® (6+ units)</t>
  </si>
  <si>
    <t>cba7eaa1-e077-4a0c-9051-b29968ffc0f6</t>
  </si>
  <si>
    <t>Tetrino®</t>
  </si>
  <si>
    <t>372f672d-e4a1-4dae-9406-dc204b119e0a</t>
  </si>
  <si>
    <t xml:space="preserve">Tribute® Total </t>
  </si>
  <si>
    <t>NON-AGENCY PRODUCTS</t>
  </si>
  <si>
    <t>Banol® 2.5 gal. bottle</t>
  </si>
  <si>
    <t>10 GAL.</t>
  </si>
  <si>
    <t>QUALIFIES AUG-SEP</t>
  </si>
  <si>
    <t>TOTAL PURCHASE</t>
  </si>
  <si>
    <t>Chipco® Signature™8 x 5.5 lb. case 
OR 11 lb. bottle</t>
  </si>
  <si>
    <t>5.5 lb. case/ 
11 lb. bottle</t>
  </si>
  <si>
    <t>3 cases or 12 bottles</t>
  </si>
  <si>
    <t>132 LB.</t>
  </si>
  <si>
    <t>079e45c8-d3d1-4618-a542-d3b3477937fc</t>
  </si>
  <si>
    <t>26GT®</t>
  </si>
  <si>
    <t>Rebates!I20:K20</t>
  </si>
  <si>
    <t>a8b807d9-6e7c-43da-97f7-9d24807a8a9c</t>
  </si>
  <si>
    <t>Acclaim® Extra</t>
  </si>
  <si>
    <t>Rebates!I22:K22</t>
  </si>
  <si>
    <t>af482759-f66c-464d-ac5f-441ecefd4617</t>
  </si>
  <si>
    <t>1 pint bottle</t>
  </si>
  <si>
    <t>Pythium XTRA Solution</t>
  </si>
  <si>
    <t>7956fbac-af4a-4747-8bf5-aebc72eac622</t>
  </si>
  <si>
    <t>Armada® 50 WDG</t>
  </si>
  <si>
    <t>2 lb. bottle</t>
  </si>
  <si>
    <t>Rebates!I23:K23</t>
  </si>
  <si>
    <t>567c6059-b013-4892-a34a-e2b32c2b6365</t>
  </si>
  <si>
    <t>Chipco® 26019 FLO</t>
  </si>
  <si>
    <t>I have no idea</t>
  </si>
  <si>
    <t>Chipco® Choice</t>
  </si>
  <si>
    <t>1fa552b6-96c0-4541-bed3-e8d2d9c2acdd</t>
  </si>
  <si>
    <t>Chipco® Sevin®</t>
  </si>
  <si>
    <t>b357401c-a798-4687-8b1a-f17fc0e1b8e6</t>
  </si>
  <si>
    <t>Compass® 50 WG</t>
  </si>
  <si>
    <t>1 lb. bottle</t>
  </si>
  <si>
    <t>Rebates!I21:K21</t>
  </si>
  <si>
    <t>43f88333-aa95-4475-921e-66f79bcd0968</t>
  </si>
  <si>
    <t>Coretect®</t>
  </si>
  <si>
    <t>250 tablet bottle</t>
  </si>
  <si>
    <t>1dc573e6-01f7-49e2-895e-d77a7493d7c0</t>
  </si>
  <si>
    <t>Dylox® 420 SL</t>
  </si>
  <si>
    <t>Signature™ XTRA Stressgard® 5.5 lb. bottle</t>
  </si>
  <si>
    <t>a63748a9-4cef-4b3d-acab-343fc381f2a3</t>
  </si>
  <si>
    <t>Dylox® 6.2 GR</t>
  </si>
  <si>
    <t>30 lb. bag</t>
  </si>
  <si>
    <t>81f25f62-c7a5-424a-bc95-a312e7d6b23a</t>
  </si>
  <si>
    <t>Forbid®</t>
  </si>
  <si>
    <t>8 oz. bottle</t>
  </si>
  <si>
    <t>5aa1eb98-ef18-4472-8f2c-518bdf8c5f4f</t>
  </si>
  <si>
    <t>Merit® 0.5 G</t>
  </si>
  <si>
    <t>7a2e67b5-936d-471d-9338-b44133342863</t>
  </si>
  <si>
    <t>Merit® 2F</t>
  </si>
  <si>
    <t>fa7c449b-a709-4983-8e10-a89adf365744</t>
  </si>
  <si>
    <t>Merit® WP</t>
  </si>
  <si>
    <t>4 x 1.6 oz. bag</t>
  </si>
  <si>
    <t>fc309c31-5dc4-4467-8188-7fed19174648</t>
  </si>
  <si>
    <t>Prograss®</t>
  </si>
  <si>
    <t>53fdd107-43a9-40a2-b52d-232b5e4abb44</t>
  </si>
  <si>
    <t>Proxy®</t>
  </si>
  <si>
    <t>d2c53017-6358-45e5-843e-aab1d753a7f1</t>
  </si>
  <si>
    <t>32 oz. bottle</t>
  </si>
  <si>
    <t>d2ced483-c28f-46de-b0e1-4c60da2a8121</t>
  </si>
  <si>
    <t>Rhapsody®</t>
  </si>
  <si>
    <t>a94de498-8827-45f8-80a7-37767aae9472</t>
  </si>
  <si>
    <t xml:space="preserve">Sencor® 75 </t>
  </si>
  <si>
    <t>5 lb. Bottle</t>
  </si>
  <si>
    <t>Interface® Stressgard® 2.5 gal. bottle</t>
  </si>
  <si>
    <t>15 GAL.</t>
  </si>
  <si>
    <t>3915a8f5-e760-461c-ae35-f07656ab4f7c</t>
  </si>
  <si>
    <t>Specticle® Total</t>
  </si>
  <si>
    <t>144 oz. bottle</t>
  </si>
  <si>
    <t>Mirage® Stressgard® 2.5 gal. bottle</t>
  </si>
  <si>
    <t>5 GAL.</t>
  </si>
  <si>
    <t>69db8c39-a6fc-4d9c-8218-3a9e92712340</t>
  </si>
  <si>
    <t>Tempo® Ultra SC</t>
  </si>
  <si>
    <t>240 ml bottle</t>
  </si>
  <si>
    <t>f319346d-803f-4023-b606-77b8ba516258</t>
  </si>
  <si>
    <t>900 ml bottle</t>
  </si>
  <si>
    <t>c5f1b3e3-09bc-4aeb-bd34-988861baa3a5</t>
  </si>
  <si>
    <t>Tempo® Ultra WP</t>
  </si>
  <si>
    <t>420 gram jar</t>
  </si>
  <si>
    <t>c2bc61ad-9709-4f8a-8a17-6ac0289d8c0f</t>
  </si>
  <si>
    <t>Tempo® Ultra WSP</t>
  </si>
  <si>
    <t>8 x 50 gram packets</t>
  </si>
  <si>
    <t>1ffb0cf0-5773-44db-b7a2-a3852a9b7c08</t>
  </si>
  <si>
    <t>Topchoice®</t>
  </si>
  <si>
    <t>Other Suggested Pairings</t>
  </si>
  <si>
    <t>Product Cart Summary</t>
  </si>
  <si>
    <t>Early Order (August-October) Bonus</t>
  </si>
  <si>
    <t>Disclaimer. The Product Cart summary is provided as an estimate only. Final values will be based on a comparisons of the invoices and product cart. See program rules and conditions.</t>
  </si>
  <si>
    <t>Purchases Invoiced August 1 - October 31 2022</t>
  </si>
  <si>
    <t>In Season Total</t>
  </si>
  <si>
    <t>YES</t>
  </si>
  <si>
    <t>Volume Discount</t>
  </si>
  <si>
    <t>Chipco® Signature™ 5.5 lb. case 
OR 11 lb. bottle</t>
  </si>
  <si>
    <t>8 x 5.5 lb. case/
11 lb. bottle</t>
  </si>
  <si>
    <t>Rebate</t>
  </si>
  <si>
    <t>Net Total after Rebates</t>
  </si>
  <si>
    <t>Rebate %</t>
  </si>
  <si>
    <t>Total Savings %</t>
  </si>
  <si>
    <t>Page 1 of 1</t>
  </si>
  <si>
    <t>REBATE ENGINE PLUGIN STATUS</t>
  </si>
  <si>
    <t>GRADUATED REBATES</t>
  </si>
  <si>
    <t>TOTAL PURCHASE REBATE</t>
  </si>
  <si>
    <t>Update status</t>
  </si>
  <si>
    <t>PLUGIN ID</t>
  </si>
  <si>
    <t>PLUGIN NAME</t>
  </si>
  <si>
    <t>PLUGIN ACTIVE</t>
  </si>
  <si>
    <t>UNIT NAME</t>
  </si>
  <si>
    <t>MINIMUM QTY</t>
  </si>
  <si>
    <t>MAXIMUM QTY</t>
  </si>
  <si>
    <t>INCLUDE INDIVIDUAL ONLY</t>
  </si>
  <si>
    <t>Graduated Rebates</t>
  </si>
  <si>
    <t>Minimum Rebates</t>
  </si>
  <si>
    <t>Interface® Stressgard®</t>
  </si>
  <si>
    <t>High Volume Rebates</t>
  </si>
  <si>
    <t>Light House Rebates</t>
  </si>
  <si>
    <t>Multiple Brand Rebate</t>
  </si>
  <si>
    <t>Signature™ XTRA Stressgard®</t>
  </si>
  <si>
    <t>Category Mix Rebate</t>
  </si>
  <si>
    <t>Strategic Bundle Rebate</t>
  </si>
  <si>
    <t>Total Purchase Rebate</t>
  </si>
  <si>
    <t>c7bd22d2-8a58-4fa3-99f1-7d4802401c08</t>
  </si>
  <si>
    <t>Bayleton® FLO (1-2 units)</t>
  </si>
  <si>
    <t>Product Pairing Rebates</t>
  </si>
  <si>
    <t>Bayleton® FLO (3+ units)</t>
  </si>
  <si>
    <t>Prior Year Total Rebate</t>
  </si>
  <si>
    <t>Sales Growth Rebate</t>
  </si>
  <si>
    <t>NO</t>
  </si>
  <si>
    <t>NOW Rebate Reference</t>
  </si>
  <si>
    <t>Graduated/Select (reference above) Rebate</t>
  </si>
  <si>
    <t>Now/Draft col AC</t>
  </si>
  <si>
    <t>Banol® (2.5 gal jug)</t>
  </si>
  <si>
    <t>$64 (4 or more)</t>
  </si>
  <si>
    <t>Chipco® Signature™(11 lb. bottle)</t>
  </si>
  <si>
    <t>Chipco® Signature™ (44 lb. case)</t>
  </si>
  <si>
    <t>Densicor® (51 fl oz bottle)</t>
  </si>
  <si>
    <t>Interface® Stressgard® (2.5 gal jug)</t>
  </si>
  <si>
    <t>$25 (2 or more)</t>
  </si>
  <si>
    <t>Mirage® Stressgard (2.5 gal jug)</t>
  </si>
  <si>
    <t>$5 (1 or more)</t>
  </si>
  <si>
    <t>Signature XTRA Stressgard (5.5 lb jug)</t>
  </si>
  <si>
    <t>Herbicides</t>
  </si>
  <si>
    <t>Celsius XTRA (10 oz bottle)</t>
  </si>
  <si>
    <t>Revolver® (87 fl oz bottle)</t>
  </si>
  <si>
    <t>Specticle® FLO (1 gal jug)</t>
  </si>
  <si>
    <t>Specticle® G (50 lb bag)</t>
  </si>
  <si>
    <t>$10 (20 or more)</t>
  </si>
  <si>
    <t>Tribute® Total (6 oz bottle)</t>
  </si>
  <si>
    <t>Nematicides</t>
  </si>
  <si>
    <t>Indemnify® (17.1 fl oz bottle)</t>
  </si>
  <si>
    <t>Insecticides</t>
  </si>
  <si>
    <t>Tetrino™ (1 gal jug)</t>
  </si>
  <si>
    <t>Updates Required:</t>
  </si>
  <si>
    <t>Status</t>
  </si>
  <si>
    <t>All pricing updates</t>
  </si>
  <si>
    <t>Good</t>
  </si>
  <si>
    <t>All select rebates</t>
  </si>
  <si>
    <t>All pairing rebates</t>
  </si>
  <si>
    <t>Volume rebate</t>
  </si>
  <si>
    <t>Printing function</t>
  </si>
  <si>
    <t>Fall products removed</t>
  </si>
  <si>
    <t xml:space="preserve">Testing </t>
  </si>
  <si>
    <t>Flyers added</t>
  </si>
  <si>
    <t>Posted to Teams</t>
  </si>
  <si>
    <t>Leaf Spot &amp; Greens Health</t>
  </si>
  <si>
    <t>Leaf Spot &amp; Greens Health XTRA</t>
  </si>
  <si>
    <t>Utility/Snow Mold Solution</t>
  </si>
  <si>
    <t>Product Cart Line Items</t>
  </si>
  <si>
    <t>Oct Bonus Yes/No</t>
  </si>
  <si>
    <t>Done 17 JUL</t>
  </si>
  <si>
    <t>done</t>
  </si>
  <si>
    <t>$5 (8 or more)</t>
  </si>
  <si>
    <t>doner</t>
  </si>
  <si>
    <t>Tiers upated - 18 JUL</t>
  </si>
  <si>
    <t>Note: Qualified purchases up to $36,999 may receive an additional 1% early purchase incentive. Qualified purchases over $36,999 include the 1% early purchase incentive.</t>
  </si>
  <si>
    <t>Purchase Tier</t>
  </si>
  <si>
    <t>PRICE/UNIT*</t>
  </si>
  <si>
    <t>BASE REBATE %**</t>
  </si>
  <si>
    <r>
      <t>PURCHASE TIER REBATE</t>
    </r>
    <r>
      <rPr>
        <b/>
        <vertAlign val="superscript"/>
        <sz val="12"/>
        <color theme="0"/>
        <rFont val="Calibri"/>
        <family val="2"/>
      </rPr>
      <t>+</t>
    </r>
  </si>
  <si>
    <r>
      <t xml:space="preserve">*Pricing for all states except CA or WA. Must be purchased on a single invoice to receive volume discount price. **Must be registered in My Bayer Rewards and accept current Terms and Conditions to participate. +Customer Fall Solutions and NOW Solutions promotional cumulative purchases (August 1 - December 5, 2022) must be $5,000 or more to qualify for Purchase Tier Rebate. New members signed up before December 31, 2022, will receive 2022 NOW/Fall Solutions rebates. All rebates for 2022 NOW/Fall Solutions will be paid in points, which can be redeemed for thousands of catalog items, distributor credits and/or company checks (no checks can be issued to a third party). All products must be invoiced between August 1 and September 30, 2022, to qualify. </t>
    </r>
    <r>
      <rPr>
        <b/>
        <sz val="9"/>
        <color rgb="FF000000"/>
        <rFont val="Calibri"/>
        <family val="2"/>
      </rPr>
      <t xml:space="preserve">Rebate calculations will be based on the date of actual product invoice and calculator tools are provided for estimation purposes only. </t>
    </r>
    <r>
      <rPr>
        <sz val="9"/>
        <color rgb="FF000000"/>
        <rFont val="Calibri"/>
        <family val="2"/>
      </rPr>
      <t>Rebates will only be paid or delivered to the company or name listed on the invoice. Please allow for rebates to be fulfilled by July 31, 2023. Only end-user purchases qualify for this program, and purchases must be from a Bayer authorized Distributor or Agent. Resale of product(s) purchased within this program will not qualify for rebates. If questions arise, please contact My Bayer Rewards at 1-888-456-6464 or email MYBAYERREWARDS@one10marketing.com. Bayer reserves the right to modify any portion thereof, or discontinue this program without prior notice.</t>
    </r>
  </si>
  <si>
    <t xml:space="preserve">Please consult the Golf and Lawn Flyers for full program details and conditions. </t>
  </si>
  <si>
    <t>Rebate Finders</t>
  </si>
  <si>
    <t>Products</t>
  </si>
  <si>
    <t>Chipco® Signature™ Cases (3+ units)</t>
  </si>
  <si>
    <t>Chipco® Signature™ Bottles (12+ units)</t>
  </si>
  <si>
    <t>4 Units, earn per unit…</t>
  </si>
  <si>
    <t>Pair 3+ cases/12+ bottles  of Chipco Signature with 4 units of Banol to receive an additional rebate per unit of…</t>
  </si>
  <si>
    <t>Pair 24+ units with 4+ units of Banol to earn an additional rebate per unit of…</t>
  </si>
  <si>
    <t>8 Units, earn per unit…</t>
  </si>
  <si>
    <t>20 Units, earn per unit…</t>
  </si>
  <si>
    <t>Pair 4+ units with 4+ units of Tetrino earn a pairing rebate per unit of…</t>
  </si>
  <si>
    <t>2 Units, earn per unit…</t>
  </si>
  <si>
    <t>1 Unit, earn per unit…</t>
  </si>
  <si>
    <t>Banol® (4+)</t>
  </si>
  <si>
    <t>Celsius® XTRA (8+)</t>
  </si>
  <si>
    <t>Specticle® G (20+)</t>
  </si>
  <si>
    <t>Densicor® (4+)</t>
  </si>
  <si>
    <t>Tetrino® (4+)</t>
  </si>
  <si>
    <t>Interface® Stressgard® (2+,6+)</t>
  </si>
  <si>
    <t>Mirage® Stressgard®(1,2+)</t>
  </si>
  <si>
    <t>Tribute® Total (6+)</t>
  </si>
  <si>
    <t>Pair 2+ units with 6+ units Interface, earn an additional per unit…</t>
  </si>
  <si>
    <t>Pair 6+ units with 2+ units Mirage, earn an additonal per unit…</t>
  </si>
  <si>
    <t>Pair with 3 cases/12 bottles Chipco Signature or 24 Signature XTRA earn an additional per unit...</t>
  </si>
  <si>
    <t>$30/Case</t>
  </si>
  <si>
    <t>$7.50/Bottle</t>
  </si>
  <si>
    <t>Pair 4+ units with 4+ units of Densicor earn a pairing rebate per unit of…</t>
  </si>
  <si>
    <t>Pair 6+ units with 2+ units of Specticle® FLO to receive a per unit rebate of…</t>
  </si>
  <si>
    <t>NAME YOUR DRAFT ORDER HERE</t>
  </si>
  <si>
    <t>Purchase Tier Level</t>
  </si>
  <si>
    <t>NOW Solutions Invoice Total</t>
  </si>
  <si>
    <t>Total Savings % (Rebates + Volume Discounts)</t>
  </si>
  <si>
    <t>Net Total after Rebate</t>
  </si>
  <si>
    <t xml:space="preserve">NOW Solutions Invoice Total </t>
  </si>
  <si>
    <t>Purchases Invoiced Aug 1 - Oct 31 2022?</t>
  </si>
  <si>
    <t>Select YES or NO below</t>
  </si>
  <si>
    <r>
      <t>NET PRICE/UNIT</t>
    </r>
    <r>
      <rPr>
        <b/>
        <sz val="6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(all rebates, incl. purchase tier)</t>
    </r>
  </si>
  <si>
    <t>SELECT REBATES**</t>
  </si>
  <si>
    <t>PAIRING REBATES**</t>
  </si>
  <si>
    <t>2022 NOW SOLUTIONS CALCULATOR</t>
  </si>
  <si>
    <t>Disclaimer. The Product Cart summary is provided as an estimate only. See program rulles and conditions.</t>
  </si>
  <si>
    <r>
      <rPr>
        <b/>
        <sz val="10"/>
        <color rgb="FF000000"/>
        <rFont val="Calibri"/>
        <family val="2"/>
      </rPr>
      <t>Dist/DSR</t>
    </r>
    <r>
      <rPr>
        <sz val="10"/>
        <color rgb="FF000000"/>
        <rFont val="Calibri"/>
        <family val="2"/>
      </rPr>
      <t xml:space="preserve">: </t>
    </r>
  </si>
  <si>
    <t>Must be registered in My Bayer Rewards and accept current Terms and Conditions to participate. Customer Fall Solutions and NOW Solutions promotional cumulative purchases (Aug. 1 - Dec. 5, 2022) must be $5,000 or more to qualify for Purchase Tier Rebate. Specticle® FLO purchases count towards rebate tier during NOW Solutions, but do not receive tier rebate.</t>
  </si>
  <si>
    <t>V: 26JUL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</si>
</sst>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######"/>
    <numFmt numFmtId="165" formatCode="\$\ #,##0.00"/>
    <numFmt numFmtId="166" formatCode="0.00##########"/>
    <numFmt numFmtId="167" formatCode="0.00000000000"/>
    <numFmt numFmtId="168" formatCode="&quot;$&quot;#,##0.00"/>
    <numFmt numFmtId="169" formatCode="0.0000000000000"/>
    <numFmt numFmtId="170" formatCode="0.00000000000000"/>
  </numFmts>
  <fonts count="4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14"/>
      <color rgb="FF064121"/>
      <name val="Calibri"/>
      <family val="2"/>
    </font>
    <font>
      <b/>
      <u val="double"/>
      <sz val="14"/>
      <color rgb="FF064121"/>
      <name val="Calibri"/>
      <family val="2"/>
    </font>
    <font>
      <b/>
      <sz val="14"/>
      <color rgb="FF000000"/>
      <name val="Calibri"/>
      <family val="2"/>
    </font>
    <font>
      <sz val="14"/>
      <color rgb="FFFFFFFF"/>
      <name val="Calibri"/>
      <family val="2"/>
    </font>
    <font>
      <b/>
      <u/>
      <sz val="9"/>
      <color rgb="FF000000"/>
      <name val="Tahoma"/>
      <family val="2"/>
    </font>
    <font>
      <sz val="9"/>
      <color rgb="FF000000"/>
      <name val="Tahoma"/>
      <family val="2"/>
    </font>
    <font>
      <b/>
      <u/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0000"/>
      <name val="Calibri"/>
      <family val="2"/>
    </font>
    <font>
      <b/>
      <sz val="7.5"/>
      <color rgb="FF000000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4"/>
      <color rgb="FF064121"/>
      <name val="Calibri"/>
      <family val="2"/>
    </font>
    <font>
      <u/>
      <sz val="9"/>
      <color rgb="FF000000"/>
      <name val="Tahoma"/>
      <family val="2"/>
    </font>
    <font>
      <b/>
      <sz val="9"/>
      <color rgb="FF000000"/>
      <name val="Tahoma"/>
      <family val="2"/>
    </font>
    <font>
      <sz val="28"/>
      <color rgb="FFFF000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vertAlign val="superscript"/>
      <sz val="12"/>
      <color theme="0"/>
      <name val="Calibri"/>
      <family val="2"/>
    </font>
    <font>
      <b/>
      <i/>
      <sz val="11"/>
      <color rgb="FF000000"/>
      <name val="Calibri"/>
      <family val="2"/>
    </font>
    <font>
      <sz val="8"/>
      <name val="Calibri"/>
      <family val="2"/>
    </font>
    <font>
      <sz val="14"/>
      <color rgb="FFFF0000"/>
      <name val="Calibri"/>
      <family val="2"/>
    </font>
    <font>
      <b/>
      <sz val="6"/>
      <color rgb="FF000000"/>
      <name val="Calibri"/>
      <family val="2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  <fill>
      <patternFill patternType="solid">
        <fgColor rgb="FFFAFAFA"/>
      </patternFill>
    </fill>
    <fill>
      <patternFill patternType="solid">
        <fgColor rgb="FF66B512"/>
      </patternFill>
    </fill>
    <fill>
      <patternFill patternType="solid">
        <fgColor rgb="FFDEE2E6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6412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rgb="FF064121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/>
      <top/>
      <bottom style="thick">
        <color rgb="FF66B512"/>
      </bottom>
      <diagonal/>
    </border>
    <border>
      <left/>
      <right style="thin">
        <color rgb="FF777777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indexed="64"/>
      </right>
      <top style="thin">
        <color rgb="FF777777"/>
      </top>
      <bottom style="thin">
        <color rgb="FF777777"/>
      </bottom>
      <diagonal/>
    </border>
    <border>
      <left/>
      <right/>
      <top style="thin">
        <color rgb="FF777777"/>
      </top>
      <bottom style="thin">
        <color rgb="FF777777"/>
      </bottom>
      <diagonal/>
    </border>
    <border>
      <left/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indexed="64"/>
      </left>
      <right style="thin">
        <color rgb="FF777777"/>
      </right>
      <top style="thick">
        <color rgb="FF66B512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ck">
        <color rgb="FF66B512"/>
      </top>
      <bottom style="thin">
        <color rgb="FF777777"/>
      </bottom>
      <diagonal/>
    </border>
    <border>
      <left style="thin">
        <color rgb="FF777777"/>
      </left>
      <right style="thin">
        <color indexed="64"/>
      </right>
      <top style="thick">
        <color rgb="FF66B512"/>
      </top>
      <bottom style="thin">
        <color rgb="FF777777"/>
      </bottom>
      <diagonal/>
    </border>
    <border>
      <left style="thin">
        <color indexed="64"/>
      </left>
      <right style="thin">
        <color rgb="FF777777"/>
      </right>
      <top style="thin">
        <color rgb="FF777777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indexed="64"/>
      </bottom>
      <diagonal/>
    </border>
    <border>
      <left style="thin">
        <color rgb="FF777777"/>
      </left>
      <right style="thin">
        <color indexed="64"/>
      </right>
      <top style="thin">
        <color rgb="FF777777"/>
      </top>
      <bottom style="thin">
        <color indexed="64"/>
      </bottom>
      <diagonal/>
    </border>
    <border>
      <left/>
      <right/>
      <top style="thick">
        <color rgb="FF66B51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777777"/>
      </top>
      <bottom/>
      <diagonal/>
    </border>
    <border>
      <left style="medium">
        <color indexed="64"/>
      </left>
      <right/>
      <top/>
      <bottom style="thick">
        <color rgb="FF66B512"/>
      </bottom>
      <diagonal/>
    </border>
    <border>
      <left/>
      <right style="medium">
        <color indexed="64"/>
      </right>
      <top/>
      <bottom style="thick">
        <color rgb="FF66B512"/>
      </bottom>
      <diagonal/>
    </border>
    <border>
      <left/>
      <right/>
      <top style="thick">
        <color rgb="FF66B512"/>
      </top>
      <bottom style="thin">
        <color rgb="FF000000"/>
      </bottom>
      <diagonal/>
    </border>
    <border>
      <left/>
      <right style="medium">
        <color indexed="64"/>
      </right>
      <top style="thick">
        <color rgb="FF66B512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77777"/>
      </left>
      <right/>
      <top style="thin">
        <color rgb="FF777777"/>
      </top>
      <bottom/>
      <diagonal/>
    </border>
    <border>
      <left/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/>
      <bottom/>
      <diagonal/>
    </border>
    <border>
      <left style="thin">
        <color rgb="FF777777"/>
      </left>
      <right/>
      <top/>
      <bottom style="thick">
        <color rgb="FF66B512"/>
      </bottom>
      <diagonal/>
    </border>
    <border>
      <left/>
      <right style="thin">
        <color rgb="FF777777"/>
      </right>
      <top/>
      <bottom style="thick">
        <color rgb="FF66B512"/>
      </bottom>
      <diagonal/>
    </border>
    <border>
      <left/>
      <right/>
      <top/>
      <bottom style="thin">
        <color rgb="FF777777"/>
      </bottom>
      <diagonal/>
    </border>
    <border>
      <left style="medium">
        <color indexed="64"/>
      </left>
      <right style="thin">
        <color indexed="64"/>
      </right>
      <top style="thick">
        <color rgb="FF66B512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66B512"/>
      </bottom>
      <diagonal/>
    </border>
    <border>
      <left/>
      <right style="thin">
        <color indexed="64"/>
      </right>
      <top/>
      <bottom style="thick">
        <color rgb="FF66B512"/>
      </bottom>
      <diagonal/>
    </border>
    <border>
      <left style="thin">
        <color rgb="FF777777"/>
      </left>
      <right style="thin">
        <color rgb="FF777777"/>
      </right>
      <top/>
      <bottom style="thin">
        <color rgb="FF777777"/>
      </bottom>
      <diagonal/>
    </border>
    <border>
      <left/>
      <right/>
      <top/>
      <bottom style="thin">
        <color indexed="64"/>
      </bottom>
      <diagonal/>
    </border>
    <border>
      <left style="thin">
        <color rgb="FF777777"/>
      </left>
      <right style="thin">
        <color rgb="FF77777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Border="0"/>
    <xf numFmtId="9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4">
    <xf numFmtId="0" fontId="0" fillId="0" borderId="0" xfId="0"/>
    <xf numFmtId="164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4" fillId="3" borderId="1" xfId="0" applyFont="1" applyFill="1" applyBorder="1"/>
    <xf numFmtId="164" fontId="4" fillId="3" borderId="1" xfId="0" applyNumberFormat="1" applyFont="1" applyFill="1" applyBorder="1"/>
    <xf numFmtId="2" fontId="4" fillId="3" borderId="1" xfId="0" applyNumberFormat="1" applyFont="1" applyFill="1" applyBorder="1"/>
    <xf numFmtId="0" fontId="4" fillId="3" borderId="0" xfId="0" applyFont="1" applyFill="1"/>
    <xf numFmtId="1" fontId="4" fillId="3" borderId="0" xfId="0" applyNumberFormat="1" applyFont="1" applyFill="1"/>
    <xf numFmtId="165" fontId="4" fillId="3" borderId="0" xfId="0" applyNumberFormat="1" applyFont="1" applyFill="1"/>
    <xf numFmtId="10" fontId="4" fillId="3" borderId="0" xfId="0" applyNumberFormat="1" applyFont="1" applyFill="1"/>
    <xf numFmtId="164" fontId="4" fillId="3" borderId="0" xfId="0" applyNumberFormat="1" applyFont="1" applyFill="1"/>
    <xf numFmtId="2" fontId="4" fillId="3" borderId="0" xfId="0" applyNumberFormat="1" applyFont="1" applyFill="1"/>
    <xf numFmtId="165" fontId="7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4" xfId="0" applyFont="1" applyFill="1" applyBorder="1"/>
    <xf numFmtId="164" fontId="7" fillId="5" borderId="2" xfId="0" applyNumberFormat="1" applyFont="1" applyFill="1" applyBorder="1"/>
    <xf numFmtId="165" fontId="7" fillId="5" borderId="2" xfId="0" applyNumberFormat="1" applyFont="1" applyFill="1" applyBorder="1"/>
    <xf numFmtId="0" fontId="7" fillId="5" borderId="2" xfId="0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1" fontId="4" fillId="2" borderId="2" xfId="0" applyNumberFormat="1" applyFont="1" applyFill="1" applyBorder="1" applyProtection="1">
      <protection locked="0"/>
    </xf>
    <xf numFmtId="165" fontId="4" fillId="4" borderId="2" xfId="0" applyNumberFormat="1" applyFont="1" applyFill="1" applyBorder="1"/>
    <xf numFmtId="164" fontId="4" fillId="2" borderId="2" xfId="0" applyNumberFormat="1" applyFont="1" applyFill="1" applyBorder="1" applyProtection="1">
      <protection locked="0"/>
    </xf>
    <xf numFmtId="2" fontId="4" fillId="4" borderId="2" xfId="0" applyNumberFormat="1" applyFont="1" applyFill="1" applyBorder="1"/>
    <xf numFmtId="164" fontId="4" fillId="4" borderId="2" xfId="0" applyNumberFormat="1" applyFont="1" applyFill="1" applyBorder="1"/>
    <xf numFmtId="0" fontId="6" fillId="6" borderId="10" xfId="0" applyFont="1" applyFill="1" applyBorder="1" applyAlignment="1">
      <alignment horizontal="left" wrapText="1" indent="1"/>
    </xf>
    <xf numFmtId="0" fontId="6" fillId="6" borderId="2" xfId="0" applyFont="1" applyFill="1" applyBorder="1" applyAlignment="1">
      <alignment horizontal="center" wrapText="1"/>
    </xf>
    <xf numFmtId="1" fontId="6" fillId="6" borderId="2" xfId="0" applyNumberFormat="1" applyFont="1" applyFill="1" applyBorder="1" applyAlignment="1">
      <alignment horizontal="center" wrapText="1"/>
    </xf>
    <xf numFmtId="164" fontId="6" fillId="6" borderId="2" xfId="0" applyNumberFormat="1" applyFont="1" applyFill="1" applyBorder="1" applyAlignment="1">
      <alignment horizontal="center" wrapText="1"/>
    </xf>
    <xf numFmtId="2" fontId="6" fillId="6" borderId="11" xfId="0" applyNumberFormat="1" applyFont="1" applyFill="1" applyBorder="1" applyAlignment="1">
      <alignment horizontal="center" wrapText="1"/>
    </xf>
    <xf numFmtId="1" fontId="4" fillId="4" borderId="2" xfId="0" applyNumberFormat="1" applyFont="1" applyFill="1" applyBorder="1" applyAlignment="1">
      <alignment horizontal="center"/>
    </xf>
    <xf numFmtId="164" fontId="4" fillId="7" borderId="2" xfId="0" applyNumberFormat="1" applyFont="1" applyFill="1" applyBorder="1" applyAlignment="1" applyProtection="1">
      <alignment horizontal="center"/>
      <protection locked="0"/>
    </xf>
    <xf numFmtId="0" fontId="7" fillId="5" borderId="12" xfId="0" applyFont="1" applyFill="1" applyBorder="1"/>
    <xf numFmtId="0" fontId="7" fillId="5" borderId="13" xfId="0" applyFont="1" applyFill="1" applyBorder="1"/>
    <xf numFmtId="165" fontId="4" fillId="4" borderId="2" xfId="0" applyNumberFormat="1" applyFont="1" applyFill="1" applyBorder="1" applyProtection="1">
      <protection locked="0"/>
    </xf>
    <xf numFmtId="165" fontId="4" fillId="2" borderId="2" xfId="0" applyNumberFormat="1" applyFont="1" applyFill="1" applyBorder="1" applyProtection="1">
      <protection locked="0"/>
    </xf>
    <xf numFmtId="0" fontId="4" fillId="4" borderId="10" xfId="0" applyFont="1" applyFill="1" applyBorder="1" applyAlignment="1">
      <alignment horizontal="left" indent="2"/>
    </xf>
    <xf numFmtId="0" fontId="4" fillId="4" borderId="2" xfId="0" applyFont="1" applyFill="1" applyBorder="1" applyAlignment="1">
      <alignment horizontal="left" indent="1"/>
    </xf>
    <xf numFmtId="0" fontId="6" fillId="6" borderId="2" xfId="0" applyFont="1" applyFill="1" applyBorder="1" applyAlignment="1">
      <alignment horizontal="left" wrapText="1" indent="1"/>
    </xf>
    <xf numFmtId="2" fontId="6" fillId="6" borderId="2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indent="2"/>
    </xf>
    <xf numFmtId="0" fontId="4" fillId="6" borderId="2" xfId="0" applyFont="1" applyFill="1" applyBorder="1"/>
    <xf numFmtId="165" fontId="4" fillId="6" borderId="2" xfId="0" applyNumberFormat="1" applyFont="1" applyFill="1" applyBorder="1"/>
    <xf numFmtId="164" fontId="4" fillId="6" borderId="2" xfId="0" applyNumberFormat="1" applyFont="1" applyFill="1" applyBorder="1"/>
    <xf numFmtId="2" fontId="4" fillId="6" borderId="2" xfId="0" applyNumberFormat="1" applyFont="1" applyFill="1" applyBorder="1"/>
    <xf numFmtId="0" fontId="9" fillId="3" borderId="0" xfId="0" applyFont="1" applyFill="1" applyBorder="1"/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top"/>
    </xf>
    <xf numFmtId="165" fontId="8" fillId="3" borderId="0" xfId="0" applyNumberFormat="1" applyFont="1" applyFill="1" applyBorder="1" applyAlignment="1">
      <alignment vertical="center"/>
    </xf>
    <xf numFmtId="164" fontId="4" fillId="3" borderId="0" xfId="0" applyNumberFormat="1" applyFont="1" applyFill="1" applyBorder="1"/>
    <xf numFmtId="0" fontId="4" fillId="3" borderId="2" xfId="0" applyFont="1" applyFill="1" applyBorder="1"/>
    <xf numFmtId="165" fontId="4" fillId="3" borderId="13" xfId="0" applyNumberFormat="1" applyFont="1" applyFill="1" applyBorder="1"/>
    <xf numFmtId="2" fontId="4" fillId="3" borderId="0" xfId="0" applyNumberFormat="1" applyFont="1" applyFill="1" applyBorder="1"/>
    <xf numFmtId="165" fontId="4" fillId="6" borderId="13" xfId="0" applyNumberFormat="1" applyFont="1" applyFill="1" applyBorder="1"/>
    <xf numFmtId="165" fontId="4" fillId="3" borderId="0" xfId="0" applyNumberFormat="1" applyFont="1" applyFill="1" applyBorder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top" wrapText="1"/>
    </xf>
    <xf numFmtId="10" fontId="4" fillId="3" borderId="13" xfId="0" applyNumberFormat="1" applyFont="1" applyFill="1" applyBorder="1"/>
    <xf numFmtId="1" fontId="7" fillId="6" borderId="2" xfId="0" applyNumberFormat="1" applyFont="1" applyFill="1" applyBorder="1" applyAlignment="1">
      <alignment horizontal="center" vertical="center" wrapText="1"/>
    </xf>
    <xf numFmtId="10" fontId="7" fillId="6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/>
    <xf numFmtId="166" fontId="4" fillId="3" borderId="2" xfId="0" applyNumberFormat="1" applyFont="1" applyFill="1" applyBorder="1"/>
    <xf numFmtId="166" fontId="4" fillId="3" borderId="0" xfId="0" applyNumberFormat="1" applyFont="1" applyFill="1"/>
    <xf numFmtId="10" fontId="4" fillId="3" borderId="2" xfId="0" applyNumberFormat="1" applyFont="1" applyFill="1" applyBorder="1"/>
    <xf numFmtId="1" fontId="4" fillId="3" borderId="14" xfId="0" applyNumberFormat="1" applyFont="1" applyFill="1" applyBorder="1"/>
    <xf numFmtId="166" fontId="4" fillId="3" borderId="14" xfId="0" applyNumberFormat="1" applyFont="1" applyFill="1" applyBorder="1"/>
    <xf numFmtId="0" fontId="4" fillId="4" borderId="23" xfId="0" applyFont="1" applyFill="1" applyBorder="1"/>
    <xf numFmtId="1" fontId="4" fillId="3" borderId="28" xfId="0" applyNumberFormat="1" applyFont="1" applyFill="1" applyBorder="1"/>
    <xf numFmtId="1" fontId="4" fillId="3" borderId="12" xfId="0" applyNumberFormat="1" applyFont="1" applyFill="1" applyBorder="1"/>
    <xf numFmtId="167" fontId="4" fillId="3" borderId="28" xfId="0" applyNumberFormat="1" applyFont="1" applyFill="1" applyBorder="1"/>
    <xf numFmtId="165" fontId="4" fillId="10" borderId="0" xfId="0" applyNumberFormat="1" applyFont="1" applyFill="1"/>
    <xf numFmtId="165" fontId="4" fillId="3" borderId="28" xfId="0" applyNumberFormat="1" applyFont="1" applyFill="1" applyBorder="1"/>
    <xf numFmtId="10" fontId="4" fillId="3" borderId="28" xfId="1" applyNumberFormat="1" applyFont="1" applyFill="1" applyBorder="1" applyAlignment="1">
      <alignment horizontal="center"/>
    </xf>
    <xf numFmtId="165" fontId="4" fillId="3" borderId="28" xfId="0" applyNumberFormat="1" applyFont="1" applyFill="1" applyBorder="1" applyAlignment="1">
      <alignment horizontal="center"/>
    </xf>
    <xf numFmtId="10" fontId="4" fillId="3" borderId="28" xfId="0" applyNumberFormat="1" applyFont="1" applyFill="1" applyBorder="1" applyAlignment="1">
      <alignment horizontal="center"/>
    </xf>
    <xf numFmtId="168" fontId="21" fillId="11" borderId="0" xfId="3" applyNumberFormat="1" applyFont="1" applyFill="1" applyBorder="1" applyAlignment="1" applyProtection="1">
      <alignment horizontal="center" vertical="center"/>
    </xf>
    <xf numFmtId="168" fontId="21" fillId="0" borderId="0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0" fillId="11" borderId="0" xfId="0" applyFill="1" applyAlignment="1">
      <alignment horizontal="center" vertical="center"/>
    </xf>
    <xf numFmtId="8" fontId="0" fillId="11" borderId="0" xfId="0" applyNumberFormat="1" applyFill="1" applyAlignment="1">
      <alignment horizontal="center" vertical="center"/>
    </xf>
    <xf numFmtId="6" fontId="0" fillId="11" borderId="0" xfId="0" applyNumberFormat="1" applyFill="1" applyAlignment="1">
      <alignment horizontal="center" vertical="center"/>
    </xf>
    <xf numFmtId="0" fontId="22" fillId="12" borderId="0" xfId="0" applyFont="1" applyFill="1" applyAlignment="1">
      <alignment horizontal="center" vertical="center" wrapText="1"/>
    </xf>
    <xf numFmtId="0" fontId="22" fillId="12" borderId="0" xfId="0" applyFont="1" applyFill="1" applyBorder="1" applyAlignment="1">
      <alignment horizontal="center" vertical="center" wrapText="1"/>
    </xf>
    <xf numFmtId="0" fontId="20" fillId="12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22" fillId="12" borderId="8" xfId="0" applyFont="1" applyFill="1" applyBorder="1" applyAlignment="1">
      <alignment horizontal="left" vertical="center" wrapText="1"/>
    </xf>
    <xf numFmtId="0" fontId="20" fillId="12" borderId="0" xfId="0" applyFont="1" applyFill="1" applyAlignment="1">
      <alignment horizontal="left"/>
    </xf>
    <xf numFmtId="0" fontId="0" fillId="0" borderId="0" xfId="0" applyAlignment="1">
      <alignment horizontal="left"/>
    </xf>
    <xf numFmtId="169" fontId="4" fillId="3" borderId="0" xfId="0" applyNumberFormat="1" applyFont="1" applyFill="1"/>
    <xf numFmtId="170" fontId="4" fillId="3" borderId="0" xfId="0" applyNumberFormat="1" applyFont="1" applyFill="1"/>
    <xf numFmtId="164" fontId="4" fillId="10" borderId="2" xfId="0" applyNumberFormat="1" applyFont="1" applyFill="1" applyBorder="1"/>
    <xf numFmtId="166" fontId="4" fillId="0" borderId="2" xfId="0" applyNumberFormat="1" applyFont="1" applyBorder="1"/>
    <xf numFmtId="169" fontId="4" fillId="0" borderId="0" xfId="1" applyNumberFormat="1" applyFont="1" applyFill="1"/>
    <xf numFmtId="0" fontId="4" fillId="3" borderId="30" xfId="0" applyFont="1" applyFill="1" applyBorder="1"/>
    <xf numFmtId="0" fontId="4" fillId="3" borderId="0" xfId="0" applyFont="1" applyFill="1" applyBorder="1"/>
    <xf numFmtId="0" fontId="4" fillId="3" borderId="29" xfId="0" applyFont="1" applyFill="1" applyBorder="1"/>
    <xf numFmtId="0" fontId="4" fillId="10" borderId="0" xfId="0" applyFont="1" applyFill="1" applyBorder="1"/>
    <xf numFmtId="0" fontId="4" fillId="0" borderId="2" xfId="0" applyFont="1" applyBorder="1"/>
    <xf numFmtId="1" fontId="25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1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64" fontId="4" fillId="7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165" fontId="25" fillId="4" borderId="2" xfId="0" applyNumberFormat="1" applyFont="1" applyFill="1" applyBorder="1"/>
    <xf numFmtId="164" fontId="4" fillId="4" borderId="2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1" fontId="4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horizontal="center"/>
    </xf>
    <xf numFmtId="2" fontId="4" fillId="4" borderId="20" xfId="0" applyNumberFormat="1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9" fillId="3" borderId="3" xfId="0" applyFont="1" applyFill="1" applyBorder="1"/>
    <xf numFmtId="1" fontId="9" fillId="3" borderId="3" xfId="0" applyNumberFormat="1" applyFont="1" applyFill="1" applyBorder="1"/>
    <xf numFmtId="164" fontId="9" fillId="3" borderId="3" xfId="0" applyNumberFormat="1" applyFont="1" applyFill="1" applyBorder="1"/>
    <xf numFmtId="2" fontId="9" fillId="3" borderId="3" xfId="0" applyNumberFormat="1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1" fontId="4" fillId="4" borderId="16" xfId="0" applyNumberFormat="1" applyFont="1" applyFill="1" applyBorder="1"/>
    <xf numFmtId="164" fontId="4" fillId="4" borderId="16" xfId="0" applyNumberFormat="1" applyFont="1" applyFill="1" applyBorder="1"/>
    <xf numFmtId="2" fontId="4" fillId="4" borderId="17" xfId="0" applyNumberFormat="1" applyFont="1" applyFill="1" applyBorder="1"/>
    <xf numFmtId="2" fontId="4" fillId="4" borderId="16" xfId="0" applyNumberFormat="1" applyFont="1" applyFill="1" applyBorder="1"/>
    <xf numFmtId="0" fontId="3" fillId="3" borderId="1" xfId="0" applyFont="1" applyFill="1" applyBorder="1" applyAlignment="1">
      <alignment vertical="center" wrapText="1"/>
    </xf>
    <xf numFmtId="0" fontId="4" fillId="4" borderId="36" xfId="0" applyFont="1" applyFill="1" applyBorder="1" applyAlignment="1" applyProtection="1">
      <alignment vertical="center" wrapText="1"/>
      <protection locked="0"/>
    </xf>
    <xf numFmtId="0" fontId="4" fillId="4" borderId="38" xfId="0" applyFont="1" applyFill="1" applyBorder="1" applyAlignment="1" applyProtection="1">
      <alignment vertical="center" wrapText="1"/>
      <protection locked="0"/>
    </xf>
    <xf numFmtId="0" fontId="4" fillId="3" borderId="40" xfId="0" applyFont="1" applyFill="1" applyBorder="1" applyAlignment="1" applyProtection="1">
      <alignment vertical="center" wrapText="1"/>
      <protection locked="0"/>
    </xf>
    <xf numFmtId="0" fontId="4" fillId="3" borderId="41" xfId="0" applyFont="1" applyFill="1" applyBorder="1" applyAlignment="1" applyProtection="1">
      <alignment vertical="center" wrapText="1"/>
      <protection locked="0"/>
    </xf>
    <xf numFmtId="0" fontId="4" fillId="4" borderId="34" xfId="0" applyFont="1" applyFill="1" applyBorder="1" applyAlignment="1" applyProtection="1">
      <alignment vertical="center" wrapText="1"/>
      <protection locked="0"/>
    </xf>
    <xf numFmtId="0" fontId="7" fillId="5" borderId="0" xfId="0" applyFont="1" applyFill="1" applyBorder="1" applyAlignment="1">
      <alignment horizontal="center"/>
    </xf>
    <xf numFmtId="10" fontId="4" fillId="0" borderId="13" xfId="0" applyNumberFormat="1" applyFont="1" applyBorder="1"/>
    <xf numFmtId="0" fontId="0" fillId="14" borderId="0" xfId="0" applyFill="1"/>
    <xf numFmtId="0" fontId="0" fillId="14" borderId="0" xfId="0" applyFill="1" applyAlignment="1">
      <alignment horizontal="center"/>
    </xf>
    <xf numFmtId="0" fontId="4" fillId="14" borderId="0" xfId="0" applyFont="1" applyFill="1"/>
    <xf numFmtId="1" fontId="4" fillId="14" borderId="0" xfId="0" applyNumberFormat="1" applyFont="1" applyFill="1"/>
    <xf numFmtId="49" fontId="4" fillId="7" borderId="34" xfId="0" applyNumberFormat="1" applyFont="1" applyFill="1" applyBorder="1" applyAlignment="1" applyProtection="1">
      <alignment vertical="center" wrapText="1"/>
      <protection locked="0"/>
    </xf>
    <xf numFmtId="49" fontId="4" fillId="7" borderId="36" xfId="0" applyNumberFormat="1" applyFont="1" applyFill="1" applyBorder="1" applyAlignment="1" applyProtection="1">
      <alignment vertical="center" wrapText="1"/>
      <protection locked="0"/>
    </xf>
    <xf numFmtId="49" fontId="4" fillId="7" borderId="38" xfId="0" applyNumberFormat="1" applyFont="1" applyFill="1" applyBorder="1" applyAlignment="1" applyProtection="1">
      <alignment vertical="center" wrapText="1"/>
      <protection locked="0"/>
    </xf>
    <xf numFmtId="49" fontId="4" fillId="7" borderId="40" xfId="0" applyNumberFormat="1" applyFont="1" applyFill="1" applyBorder="1" applyAlignment="1" applyProtection="1">
      <alignment vertical="center" wrapText="1"/>
      <protection locked="0"/>
    </xf>
    <xf numFmtId="49" fontId="4" fillId="7" borderId="41" xfId="0" applyNumberFormat="1" applyFont="1" applyFill="1" applyBorder="1" applyAlignment="1" applyProtection="1">
      <alignment vertical="center" wrapText="1"/>
      <protection locked="0"/>
    </xf>
    <xf numFmtId="0" fontId="28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wrapText="1"/>
    </xf>
    <xf numFmtId="1" fontId="28" fillId="4" borderId="2" xfId="0" applyNumberFormat="1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165" fontId="4" fillId="4" borderId="2" xfId="0" applyNumberFormat="1" applyFont="1" applyFill="1" applyBorder="1" applyProtection="1">
      <protection hidden="1"/>
    </xf>
    <xf numFmtId="166" fontId="4" fillId="4" borderId="2" xfId="0" applyNumberFormat="1" applyFont="1" applyFill="1" applyBorder="1" applyProtection="1">
      <protection hidden="1"/>
    </xf>
    <xf numFmtId="2" fontId="4" fillId="4" borderId="2" xfId="0" applyNumberFormat="1" applyFont="1" applyFill="1" applyBorder="1" applyProtection="1">
      <protection hidden="1"/>
    </xf>
    <xf numFmtId="165" fontId="4" fillId="6" borderId="2" xfId="0" applyNumberFormat="1" applyFont="1" applyFill="1" applyBorder="1" applyProtection="1">
      <protection hidden="1"/>
    </xf>
    <xf numFmtId="10" fontId="4" fillId="6" borderId="2" xfId="0" applyNumberFormat="1" applyFont="1" applyFill="1" applyBorder="1" applyProtection="1">
      <protection hidden="1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2" fontId="4" fillId="4" borderId="11" xfId="0" applyNumberFormat="1" applyFont="1" applyFill="1" applyBorder="1" applyAlignment="1" applyProtection="1">
      <alignment horizontal="center" vertical="center"/>
      <protection hidden="1"/>
    </xf>
    <xf numFmtId="0" fontId="4" fillId="7" borderId="40" xfId="0" applyFont="1" applyFill="1" applyBorder="1" applyAlignment="1" applyProtection="1">
      <alignment vertical="center" wrapText="1"/>
      <protection hidden="1"/>
    </xf>
    <xf numFmtId="0" fontId="4" fillId="7" borderId="54" xfId="0" applyFont="1" applyFill="1" applyBorder="1" applyAlignment="1" applyProtection="1">
      <alignment vertical="center" wrapText="1"/>
      <protection hidden="1"/>
    </xf>
    <xf numFmtId="0" fontId="4" fillId="7" borderId="22" xfId="0" applyFont="1" applyFill="1" applyBorder="1" applyAlignment="1" applyProtection="1">
      <alignment vertical="center" wrapText="1"/>
      <protection hidden="1"/>
    </xf>
    <xf numFmtId="0" fontId="4" fillId="7" borderId="27" xfId="0" applyFont="1" applyFill="1" applyBorder="1" applyAlignment="1" applyProtection="1">
      <alignment vertical="center" wrapText="1"/>
      <protection hidden="1"/>
    </xf>
    <xf numFmtId="0" fontId="5" fillId="4" borderId="25" xfId="0" applyFont="1" applyFill="1" applyBorder="1" applyAlignment="1" applyProtection="1">
      <alignment vertical="center" wrapText="1"/>
      <protection locked="0"/>
    </xf>
    <xf numFmtId="0" fontId="5" fillId="4" borderId="26" xfId="0" applyFont="1" applyFill="1" applyBorder="1" applyAlignment="1" applyProtection="1">
      <alignment vertical="center" wrapText="1"/>
      <protection locked="0"/>
    </xf>
    <xf numFmtId="0" fontId="5" fillId="4" borderId="24" xfId="0" applyFont="1" applyFill="1" applyBorder="1" applyAlignment="1" applyProtection="1">
      <alignment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hidden="1"/>
    </xf>
    <xf numFmtId="1" fontId="4" fillId="6" borderId="2" xfId="0" applyNumberFormat="1" applyFont="1" applyFill="1" applyBorder="1" applyAlignment="1" applyProtection="1">
      <alignment horizontal="center"/>
      <protection hidden="1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51" xfId="0" applyFont="1" applyFill="1" applyBorder="1" applyAlignment="1" applyProtection="1">
      <alignment horizontal="center" vertical="center" wrapText="1"/>
      <protection locked="0"/>
    </xf>
    <xf numFmtId="0" fontId="4" fillId="3" borderId="53" xfId="0" applyFont="1" applyFill="1" applyBorder="1" applyAlignment="1" applyProtection="1">
      <alignment horizontal="center" vertical="center" wrapText="1"/>
      <protection locked="0"/>
    </xf>
    <xf numFmtId="0" fontId="4" fillId="3" borderId="52" xfId="0" applyFont="1" applyFill="1" applyBorder="1" applyAlignment="1" applyProtection="1">
      <alignment horizontal="center" vertical="center" wrapText="1"/>
      <protection locked="0"/>
    </xf>
    <xf numFmtId="0" fontId="4" fillId="4" borderId="50" xfId="0" applyFont="1" applyFill="1" applyBorder="1" applyAlignment="1" applyProtection="1">
      <alignment horizontal="center" vertical="top" wrapText="1"/>
      <protection locked="0"/>
    </xf>
    <xf numFmtId="165" fontId="25" fillId="0" borderId="2" xfId="0" applyNumberFormat="1" applyFont="1" applyFill="1" applyBorder="1"/>
    <xf numFmtId="0" fontId="4" fillId="3" borderId="0" xfId="0" applyNumberFormat="1" applyFont="1" applyFill="1"/>
    <xf numFmtId="0" fontId="0" fillId="0" borderId="0" xfId="0" applyFill="1"/>
    <xf numFmtId="2" fontId="6" fillId="6" borderId="2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/>
    <xf numFmtId="164" fontId="6" fillId="6" borderId="2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/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/>
    <xf numFmtId="0" fontId="6" fillId="6" borderId="2" xfId="0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 wrapText="1"/>
    </xf>
    <xf numFmtId="165" fontId="7" fillId="6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/>
    <xf numFmtId="165" fontId="6" fillId="6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/>
    <xf numFmtId="10" fontId="6" fillId="6" borderId="2" xfId="0" applyNumberFormat="1" applyFont="1" applyFill="1" applyBorder="1" applyAlignment="1">
      <alignment horizontal="center" vertical="center"/>
    </xf>
    <xf numFmtId="166" fontId="7" fillId="6" borderId="2" xfId="0" applyNumberFormat="1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/>
    <xf numFmtId="0" fontId="5" fillId="3" borderId="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164" fontId="7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/>
    <xf numFmtId="0" fontId="4" fillId="4" borderId="2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3" fillId="5" borderId="48" xfId="0" applyFont="1" applyFill="1" applyBorder="1"/>
    <xf numFmtId="0" fontId="5" fillId="0" borderId="0" xfId="0" applyFont="1"/>
    <xf numFmtId="0" fontId="36" fillId="0" borderId="0" xfId="0" applyFont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6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6" fontId="0" fillId="0" borderId="0" xfId="0" applyNumberFormat="1" applyBorder="1" applyAlignment="1">
      <alignment horizontal="center" vertical="center"/>
    </xf>
    <xf numFmtId="8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 wrapText="1" indent="1"/>
    </xf>
    <xf numFmtId="0" fontId="4" fillId="4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0" fillId="0" borderId="45" xfId="0" applyBorder="1" applyAlignment="1">
      <alignment horizontal="left" vertical="center" indent="1"/>
    </xf>
    <xf numFmtId="0" fontId="0" fillId="0" borderId="45" xfId="0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4" fillId="4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center" wrapText="1" indent="1"/>
    </xf>
    <xf numFmtId="0" fontId="4" fillId="7" borderId="34" xfId="0" applyNumberFormat="1" applyFont="1" applyFill="1" applyBorder="1" applyAlignment="1" applyProtection="1">
      <alignment vertical="center" wrapText="1"/>
      <protection locked="0"/>
    </xf>
    <xf numFmtId="0" fontId="4" fillId="7" borderId="36" xfId="0" applyNumberFormat="1" applyFont="1" applyFill="1" applyBorder="1" applyAlignment="1" applyProtection="1">
      <alignment vertical="center" wrapText="1"/>
      <protection locked="0"/>
    </xf>
    <xf numFmtId="0" fontId="4" fillId="7" borderId="38" xfId="0" applyNumberFormat="1" applyFont="1" applyFill="1" applyBorder="1" applyAlignment="1" applyProtection="1">
      <alignment vertical="center" wrapText="1"/>
      <protection locked="0"/>
    </xf>
    <xf numFmtId="0" fontId="4" fillId="7" borderId="41" xfId="0" applyNumberFormat="1" applyFont="1" applyFill="1" applyBorder="1" applyAlignment="1" applyProtection="1">
      <alignment vertical="center" wrapText="1"/>
      <protection locked="0"/>
    </xf>
    <xf numFmtId="0" fontId="4" fillId="4" borderId="62" xfId="0" applyFont="1" applyFill="1" applyBorder="1" applyAlignment="1" applyProtection="1">
      <alignment vertical="center" wrapText="1"/>
      <protection locked="0"/>
    </xf>
    <xf numFmtId="0" fontId="4" fillId="4" borderId="63" xfId="0" applyFont="1" applyFill="1" applyBorder="1" applyAlignment="1" applyProtection="1">
      <alignment vertical="center" wrapText="1"/>
      <protection locked="0"/>
    </xf>
    <xf numFmtId="0" fontId="4" fillId="3" borderId="64" xfId="0" applyFont="1" applyFill="1" applyBorder="1" applyAlignment="1" applyProtection="1">
      <alignment vertical="center" wrapText="1"/>
      <protection locked="0"/>
    </xf>
    <xf numFmtId="0" fontId="4" fillId="3" borderId="65" xfId="0" applyFont="1" applyFill="1" applyBorder="1" applyAlignment="1" applyProtection="1">
      <alignment vertical="center" wrapText="1"/>
      <protection locked="0"/>
    </xf>
    <xf numFmtId="0" fontId="4" fillId="4" borderId="66" xfId="0" applyFont="1" applyFill="1" applyBorder="1" applyAlignment="1" applyProtection="1">
      <alignment vertical="center" wrapText="1"/>
      <protection locked="0"/>
    </xf>
    <xf numFmtId="0" fontId="4" fillId="7" borderId="58" xfId="0" applyFont="1" applyFill="1" applyBorder="1" applyAlignment="1" applyProtection="1">
      <alignment vertical="center" wrapText="1"/>
      <protection hidden="1"/>
    </xf>
    <xf numFmtId="0" fontId="4" fillId="7" borderId="67" xfId="0" applyFont="1" applyFill="1" applyBorder="1" applyAlignment="1" applyProtection="1">
      <alignment vertical="center" wrapText="1"/>
      <protection hidden="1"/>
    </xf>
    <xf numFmtId="0" fontId="0" fillId="0" borderId="0" xfId="0" applyAlignment="1"/>
    <xf numFmtId="0" fontId="4" fillId="6" borderId="2" xfId="0" applyFont="1" applyFill="1" applyBorder="1" applyAlignment="1"/>
    <xf numFmtId="165" fontId="4" fillId="6" borderId="2" xfId="0" applyNumberFormat="1" applyFont="1" applyFill="1" applyBorder="1" applyAlignment="1"/>
    <xf numFmtId="1" fontId="4" fillId="3" borderId="0" xfId="0" applyNumberFormat="1" applyFont="1" applyFill="1" applyAlignment="1">
      <alignment horizontal="right"/>
    </xf>
    <xf numFmtId="49" fontId="4" fillId="7" borderId="35" xfId="0" applyNumberFormat="1" applyFont="1" applyFill="1" applyBorder="1" applyAlignment="1" applyProtection="1">
      <alignment horizontal="right" vertical="center" wrapText="1"/>
      <protection locked="0"/>
    </xf>
    <xf numFmtId="49" fontId="4" fillId="7" borderId="37" xfId="0" applyNumberFormat="1" applyFont="1" applyFill="1" applyBorder="1" applyAlignment="1" applyProtection="1">
      <alignment horizontal="right" vertical="center" wrapText="1"/>
      <protection locked="0"/>
    </xf>
    <xf numFmtId="49" fontId="4" fillId="7" borderId="39" xfId="0" applyNumberFormat="1" applyFont="1" applyFill="1" applyBorder="1" applyAlignment="1" applyProtection="1">
      <alignment horizontal="right" vertical="center" wrapText="1"/>
      <protection locked="0"/>
    </xf>
    <xf numFmtId="49" fontId="4" fillId="7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7" borderId="42" xfId="0" applyNumberFormat="1" applyFont="1" applyFill="1" applyBorder="1" applyAlignment="1" applyProtection="1">
      <alignment horizontal="right" vertical="center" wrapText="1"/>
      <protection locked="0"/>
    </xf>
    <xf numFmtId="165" fontId="4" fillId="3" borderId="0" xfId="0" applyNumberFormat="1" applyFont="1" applyFill="1" applyAlignment="1">
      <alignment horizontal="right"/>
    </xf>
    <xf numFmtId="0" fontId="7" fillId="5" borderId="0" xfId="0" applyFont="1" applyFill="1" applyBorder="1" applyAlignment="1">
      <alignment horizontal="right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1" fontId="4" fillId="8" borderId="2" xfId="0" applyNumberFormat="1" applyFont="1" applyFill="1" applyBorder="1" applyAlignment="1" applyProtection="1">
      <alignment horizontal="right"/>
      <protection locked="0"/>
    </xf>
    <xf numFmtId="0" fontId="7" fillId="5" borderId="12" xfId="0" applyFont="1" applyFill="1" applyBorder="1" applyAlignment="1">
      <alignment horizontal="right"/>
    </xf>
    <xf numFmtId="1" fontId="6" fillId="6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>
      <alignment horizontal="right" vertical="center" wrapText="1"/>
    </xf>
    <xf numFmtId="1" fontId="4" fillId="2" borderId="2" xfId="0" applyNumberFormat="1" applyFont="1" applyFill="1" applyBorder="1" applyAlignment="1">
      <alignment horizontal="right"/>
    </xf>
    <xf numFmtId="1" fontId="4" fillId="6" borderId="2" xfId="0" applyNumberFormat="1" applyFont="1" applyFill="1" applyBorder="1" applyAlignment="1" applyProtection="1">
      <alignment horizontal="right"/>
      <protection hidden="1"/>
    </xf>
    <xf numFmtId="0" fontId="4" fillId="3" borderId="21" xfId="0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right" vertical="top" wrapText="1"/>
    </xf>
    <xf numFmtId="9" fontId="4" fillId="15" borderId="28" xfId="1" applyFont="1" applyFill="1" applyBorder="1" applyAlignment="1">
      <alignment horizontal="right"/>
    </xf>
    <xf numFmtId="165" fontId="4" fillId="14" borderId="28" xfId="0" applyNumberFormat="1" applyFont="1" applyFill="1" applyBorder="1" applyAlignment="1" applyProtection="1">
      <alignment horizontal="right"/>
      <protection hidden="1"/>
    </xf>
    <xf numFmtId="165" fontId="4" fillId="3" borderId="28" xfId="0" applyNumberFormat="1" applyFont="1" applyFill="1" applyBorder="1" applyAlignment="1" applyProtection="1">
      <alignment horizontal="right"/>
      <protection hidden="1"/>
    </xf>
    <xf numFmtId="165" fontId="4" fillId="15" borderId="28" xfId="0" applyNumberFormat="1" applyFont="1" applyFill="1" applyBorder="1" applyAlignment="1" applyProtection="1">
      <alignment horizontal="right" vertical="center"/>
      <protection hidden="1"/>
    </xf>
    <xf numFmtId="165" fontId="4" fillId="15" borderId="28" xfId="0" applyNumberFormat="1" applyFont="1" applyFill="1" applyBorder="1" applyAlignment="1" applyProtection="1">
      <alignment horizontal="right"/>
      <protection hidden="1"/>
    </xf>
    <xf numFmtId="10" fontId="4" fillId="0" borderId="28" xfId="0" applyNumberFormat="1" applyFont="1" applyBorder="1" applyAlignment="1" applyProtection="1">
      <alignment horizontal="right"/>
      <protection hidden="1"/>
    </xf>
    <xf numFmtId="10" fontId="4" fillId="15" borderId="28" xfId="0" applyNumberFormat="1" applyFont="1" applyFill="1" applyBorder="1" applyAlignment="1" applyProtection="1">
      <alignment horizontal="right"/>
      <protection hidden="1"/>
    </xf>
    <xf numFmtId="0" fontId="9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vertical="center" wrapText="1"/>
    </xf>
    <xf numFmtId="165" fontId="7" fillId="6" borderId="0" xfId="0" applyNumberFormat="1" applyFont="1" applyFill="1" applyBorder="1" applyAlignment="1">
      <alignment horizontal="center" vertical="center" wrapText="1"/>
    </xf>
    <xf numFmtId="10" fontId="7" fillId="6" borderId="0" xfId="0" applyNumberFormat="1" applyFont="1" applyFill="1" applyBorder="1" applyAlignment="1">
      <alignment horizontal="center" vertical="center" wrapText="1"/>
    </xf>
    <xf numFmtId="10" fontId="23" fillId="6" borderId="0" xfId="0" applyNumberFormat="1" applyFont="1" applyFill="1" applyBorder="1" applyAlignment="1">
      <alignment horizontal="center" vertical="center" wrapText="1"/>
    </xf>
    <xf numFmtId="10" fontId="24" fillId="6" borderId="0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/>
    <xf numFmtId="165" fontId="7" fillId="6" borderId="8" xfId="0" applyNumberFormat="1" applyFont="1" applyFill="1" applyBorder="1" applyAlignment="1">
      <alignment horizontal="center" vertical="center" wrapText="1"/>
    </xf>
    <xf numFmtId="165" fontId="4" fillId="13" borderId="0" xfId="0" applyNumberFormat="1" applyFont="1" applyFill="1" applyBorder="1"/>
    <xf numFmtId="164" fontId="4" fillId="13" borderId="0" xfId="0" applyNumberFormat="1" applyFont="1" applyFill="1" applyBorder="1"/>
    <xf numFmtId="14" fontId="4" fillId="7" borderId="40" xfId="0" applyNumberFormat="1" applyFont="1" applyFill="1" applyBorder="1" applyAlignment="1" applyProtection="1">
      <alignment vertical="center" wrapText="1"/>
      <protection locked="0"/>
    </xf>
    <xf numFmtId="49" fontId="4" fillId="7" borderId="0" xfId="0" applyNumberFormat="1" applyFont="1" applyFill="1" applyBorder="1" applyAlignment="1" applyProtection="1">
      <alignment horizontal="left"/>
      <protection hidden="1"/>
    </xf>
    <xf numFmtId="49" fontId="4" fillId="7" borderId="6" xfId="0" applyNumberFormat="1" applyFont="1" applyFill="1" applyBorder="1" applyAlignment="1" applyProtection="1">
      <alignment horizontal="left"/>
      <protection hidden="1"/>
    </xf>
    <xf numFmtId="14" fontId="4" fillId="7" borderId="6" xfId="0" applyNumberFormat="1" applyFont="1" applyFill="1" applyBorder="1" applyAlignment="1" applyProtection="1">
      <alignment horizontal="left"/>
      <protection hidden="1"/>
    </xf>
    <xf numFmtId="49" fontId="4" fillId="7" borderId="41" xfId="0" applyNumberFormat="1" applyFont="1" applyFill="1" applyBorder="1" applyAlignment="1" applyProtection="1">
      <alignment horizontal="left"/>
      <protection hidden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4" fillId="15" borderId="30" xfId="0" applyFont="1" applyFill="1" applyBorder="1" applyAlignment="1">
      <alignment horizontal="left"/>
    </xf>
    <xf numFmtId="0" fontId="4" fillId="15" borderId="40" xfId="0" applyFont="1" applyFill="1" applyBorder="1" applyAlignment="1">
      <alignment horizontal="left"/>
    </xf>
    <xf numFmtId="0" fontId="4" fillId="15" borderId="71" xfId="0" applyFont="1" applyFill="1" applyBorder="1" applyAlignment="1">
      <alignment horizontal="left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55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56" xfId="0" applyFont="1" applyFill="1" applyBorder="1" applyAlignment="1">
      <alignment horizontal="center" vertical="center" wrapText="1"/>
    </xf>
    <xf numFmtId="165" fontId="6" fillId="6" borderId="2" xfId="0" applyNumberFormat="1" applyFont="1" applyFill="1" applyBorder="1" applyAlignment="1">
      <alignment horizontal="center" vertical="center"/>
    </xf>
    <xf numFmtId="165" fontId="7" fillId="6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 wrapText="1"/>
    </xf>
    <xf numFmtId="0" fontId="4" fillId="15" borderId="28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28" fillId="3" borderId="0" xfId="0" applyFont="1" applyFill="1" applyAlignment="1">
      <alignment horizontal="left" vertical="top" wrapText="1"/>
    </xf>
    <xf numFmtId="0" fontId="4" fillId="3" borderId="28" xfId="0" applyFont="1" applyFill="1" applyBorder="1" applyAlignment="1">
      <alignment horizontal="left"/>
    </xf>
    <xf numFmtId="0" fontId="4" fillId="15" borderId="28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/>
    </xf>
    <xf numFmtId="164" fontId="6" fillId="6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3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3" fillId="9" borderId="45" xfId="0" applyFont="1" applyFill="1" applyBorder="1" applyAlignment="1" applyProtection="1">
      <alignment horizontal="left" vertical="center" wrapText="1"/>
      <protection hidden="1"/>
    </xf>
    <xf numFmtId="0" fontId="13" fillId="9" borderId="0" xfId="0" applyFont="1" applyFill="1" applyBorder="1" applyAlignment="1" applyProtection="1">
      <alignment horizontal="left" vertical="center" wrapText="1"/>
      <protection hidden="1"/>
    </xf>
    <xf numFmtId="0" fontId="13" fillId="9" borderId="4" xfId="0" applyFont="1" applyFill="1" applyBorder="1" applyAlignment="1" applyProtection="1">
      <alignment horizontal="left" vertical="center" wrapText="1"/>
      <protection hidden="1"/>
    </xf>
    <xf numFmtId="0" fontId="38" fillId="4" borderId="24" xfId="0" applyFont="1" applyFill="1" applyBorder="1" applyAlignment="1" applyProtection="1">
      <alignment horizontal="left" vertical="center" wrapText="1"/>
      <protection locked="0"/>
    </xf>
    <xf numFmtId="0" fontId="38" fillId="4" borderId="25" xfId="0" applyFont="1" applyFill="1" applyBorder="1" applyAlignment="1" applyProtection="1">
      <alignment horizontal="left" vertical="center" wrapText="1"/>
      <protection locked="0"/>
    </xf>
    <xf numFmtId="0" fontId="38" fillId="4" borderId="26" xfId="0" applyFont="1" applyFill="1" applyBorder="1" applyAlignment="1" applyProtection="1">
      <alignment horizontal="left" vertical="center" wrapText="1"/>
      <protection locked="0"/>
    </xf>
    <xf numFmtId="0" fontId="38" fillId="4" borderId="32" xfId="0" applyFont="1" applyFill="1" applyBorder="1" applyAlignment="1" applyProtection="1">
      <alignment horizontal="left" vertical="center" wrapText="1"/>
      <protection locked="0"/>
    </xf>
    <xf numFmtId="0" fontId="38" fillId="4" borderId="3" xfId="0" applyFont="1" applyFill="1" applyBorder="1" applyAlignment="1" applyProtection="1">
      <alignment horizontal="left" vertical="center" wrapText="1"/>
      <protection locked="0"/>
    </xf>
    <xf numFmtId="0" fontId="38" fillId="4" borderId="33" xfId="0" applyFont="1" applyFill="1" applyBorder="1" applyAlignment="1" applyProtection="1">
      <alignment horizontal="left" vertical="center" wrapText="1"/>
      <protection locked="0"/>
    </xf>
    <xf numFmtId="0" fontId="4" fillId="14" borderId="28" xfId="0" applyFont="1" applyFill="1" applyBorder="1" applyAlignment="1">
      <alignment horizontal="left"/>
    </xf>
    <xf numFmtId="0" fontId="9" fillId="16" borderId="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vertical="center" wrapText="1"/>
    </xf>
    <xf numFmtId="165" fontId="8" fillId="3" borderId="0" xfId="0" applyNumberFormat="1" applyFont="1" applyFill="1" applyBorder="1" applyAlignment="1">
      <alignment horizontal="center"/>
    </xf>
    <xf numFmtId="165" fontId="6" fillId="6" borderId="2" xfId="0" applyNumberFormat="1" applyFont="1" applyFill="1" applyBorder="1" applyAlignment="1">
      <alignment horizontal="center" vertical="center" wrapText="1"/>
    </xf>
    <xf numFmtId="10" fontId="6" fillId="6" borderId="2" xfId="0" applyNumberFormat="1" applyFont="1" applyFill="1" applyBorder="1" applyAlignment="1">
      <alignment horizontal="center" vertical="center"/>
    </xf>
    <xf numFmtId="166" fontId="7" fillId="6" borderId="2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/>
    </xf>
    <xf numFmtId="164" fontId="7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165" fontId="34" fillId="13" borderId="0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>
      <alignment horizontal="right" vertical="center" wrapText="1"/>
    </xf>
    <xf numFmtId="0" fontId="4" fillId="3" borderId="23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13" fillId="9" borderId="43" xfId="0" applyFont="1" applyFill="1" applyBorder="1" applyAlignment="1">
      <alignment horizontal="left" vertical="center"/>
    </xf>
    <xf numFmtId="0" fontId="13" fillId="9" borderId="31" xfId="0" applyFont="1" applyFill="1" applyBorder="1" applyAlignment="1">
      <alignment horizontal="left" vertical="center"/>
    </xf>
    <xf numFmtId="0" fontId="13" fillId="9" borderId="44" xfId="0" applyFont="1" applyFill="1" applyBorder="1" applyAlignment="1">
      <alignment horizontal="left" vertical="center"/>
    </xf>
    <xf numFmtId="0" fontId="5" fillId="0" borderId="68" xfId="0" applyFont="1" applyBorder="1" applyAlignment="1" applyProtection="1">
      <alignment horizontal="left" vertical="center" wrapText="1"/>
      <protection hidden="1"/>
    </xf>
    <xf numFmtId="0" fontId="5" fillId="0" borderId="69" xfId="0" applyFont="1" applyBorder="1" applyAlignment="1" applyProtection="1">
      <alignment horizontal="left" vertical="center" wrapText="1"/>
      <protection hidden="1"/>
    </xf>
    <xf numFmtId="0" fontId="5" fillId="0" borderId="70" xfId="0" applyFont="1" applyBorder="1" applyAlignment="1" applyProtection="1">
      <alignment horizontal="left" vertical="center" wrapText="1"/>
      <protection hidden="1"/>
    </xf>
    <xf numFmtId="0" fontId="4" fillId="3" borderId="21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27" fillId="3" borderId="3" xfId="0" applyFont="1" applyFill="1" applyBorder="1" applyAlignment="1">
      <alignment horizontal="left"/>
    </xf>
    <xf numFmtId="1" fontId="6" fillId="6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left" vertical="center"/>
    </xf>
    <xf numFmtId="1" fontId="4" fillId="2" borderId="60" xfId="0" applyNumberFormat="1" applyFont="1" applyFill="1" applyBorder="1" applyAlignment="1" applyProtection="1">
      <alignment horizontal="center"/>
      <protection locked="0"/>
    </xf>
    <xf numFmtId="1" fontId="4" fillId="2" borderId="61" xfId="0" applyNumberFormat="1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>
      <alignment horizontal="left" vertical="center"/>
    </xf>
    <xf numFmtId="0" fontId="4" fillId="4" borderId="57" xfId="0" applyFont="1" applyFill="1" applyBorder="1" applyAlignment="1">
      <alignment horizontal="left" vertical="center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" fontId="4" fillId="2" borderId="57" xfId="0" applyNumberFormat="1" applyFont="1" applyFill="1" applyBorder="1" applyAlignment="1" applyProtection="1">
      <alignment horizontal="center"/>
      <protection locked="0"/>
    </xf>
    <xf numFmtId="0" fontId="0" fillId="0" borderId="45" xfId="0" applyBorder="1" applyAlignment="1">
      <alignment horizontal="left" vertical="center" wrapText="1" indent="1"/>
    </xf>
    <xf numFmtId="1" fontId="4" fillId="2" borderId="59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6" fillId="5" borderId="2" xfId="0" applyFont="1" applyFill="1" applyBorder="1" applyAlignment="1"/>
    <xf numFmtId="1" fontId="6" fillId="5" borderId="2" xfId="0" applyNumberFormat="1" applyFont="1" applyFill="1" applyBorder="1" applyAlignment="1"/>
    <xf numFmtId="10" fontId="6" fillId="5" borderId="2" xfId="0" applyNumberFormat="1" applyFont="1" applyFill="1" applyBorder="1" applyAlignment="1"/>
    <xf numFmtId="165" fontId="6" fillId="5" borderId="2" xfId="0" applyNumberFormat="1" applyFont="1" applyFill="1" applyBorder="1" applyAlignment="1"/>
  </cellXfs>
  <cellStyles count="5">
    <cellStyle name="Currency 2" xfId="3" xr:uid="{EEE9D913-0377-439B-9FB2-4558DC9F454C}"/>
    <cellStyle name="Normal" xfId="0" builtinId="0"/>
    <cellStyle name="Normal 2" xfId="2" xr:uid="{C2727015-0146-4669-912F-02624FF74B59}"/>
    <cellStyle name="Percent" xfId="1" builtinId="5"/>
    <cellStyle name="Percent 2" xfId="4" xr:uid="{88AE0D89-5ACB-454F-AFF1-44FE6AF276F9}"/>
  </cellStyles>
  <dxfs count="0"/>
  <tableStyles count="0" defaultTableStyle="TableStyleMedium2" defaultPivotStyle="PivotStyleLight16"/>
  <colors>
    <mruColors>
      <color rgb="FF339933"/>
      <color rgb="FFDDDDDD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44450</xdr:colOff>
      <xdr:row>0</xdr:row>
      <xdr:rowOff>73025</xdr:rowOff>
    </xdr:from>
    <xdr:ext cx="714375" cy="714375"/>
    <xdr:pic>
      <xdr:nvPicPr>
        <xdr:cNvPr id="3" name="Logo_637633304630642098">
          <a:extLst>
            <a:ext uri="{FF2B5EF4-FFF2-40B4-BE49-F238E27FC236}">
              <a16:creationId xmlns:a16="http://schemas.microsoft.com/office/drawing/2014/main" id="{F567C46F-35ED-41BD-B9E5-F10F853ED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" y="73025"/>
          <a:ext cx="714375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590550</xdr:colOff>
      <xdr:row>1</xdr:row>
      <xdr:rowOff>206375</xdr:rowOff>
    </xdr:from>
    <xdr:ext cx="714375" cy="714375"/>
    <xdr:pic>
      <xdr:nvPicPr>
        <xdr:cNvPr id="2" name="Logo_637633304630642098">
          <a:extLst>
            <a:ext uri="{FF2B5EF4-FFF2-40B4-BE49-F238E27FC236}">
              <a16:creationId xmlns:a16="http://schemas.microsoft.com/office/drawing/2014/main" id="{CB73B5B3-3357-44BA-8F3B-B62CDB7C5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24425" y="396875"/>
          <a:ext cx="714375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28574</xdr:rowOff>
    </xdr:from>
    <xdr:to>
      <xdr:col>12</xdr:col>
      <xdr:colOff>523875</xdr:colOff>
      <xdr:row>53</xdr:row>
      <xdr:rowOff>179076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A8BF2-284B-4210-8CF9-ADA1B56A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8574"/>
          <a:ext cx="7543800" cy="9742177"/>
        </a:xfrm>
        <a:prstGeom prst="rect">
          <a:avLst/>
        </a:prstGeom>
      </xdr:spPr>
    </xdr:pic>
    <xdr:clientData/>
  </xdr:twoCellAnchor>
  <xdr:twoCellAnchor editAs="oneCell">
    <xdr:from>
      <xdr:col>13</xdr:col>
      <xdr:colOff>76199</xdr:colOff>
      <xdr:row>0</xdr:row>
      <xdr:rowOff>31749</xdr:rowOff>
    </xdr:from>
    <xdr:to>
      <xdr:col>25</xdr:col>
      <xdr:colOff>371474</xdr:colOff>
      <xdr:row>54</xdr:row>
      <xdr:rowOff>9456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91BE96-A6B1-451B-8237-F945FDA21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0999" y="31749"/>
          <a:ext cx="7610475" cy="97503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82549</xdr:colOff>
      <xdr:row>0</xdr:row>
      <xdr:rowOff>158750</xdr:rowOff>
    </xdr:from>
    <xdr:to>
      <xdr:col>13</xdr:col>
      <xdr:colOff>428624</xdr:colOff>
      <xdr:row>60</xdr:row>
      <xdr:rowOff>39047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8F78A5-45BE-4A9B-A7CD-11372590D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9" y="158750"/>
          <a:ext cx="8270875" cy="10738797"/>
        </a:xfrm>
        <a:prstGeom prst="rect">
          <a:avLst/>
        </a:prstGeom>
      </xdr:spPr>
    </xdr:pic>
    <xdr:clientData/>
  </xdr:twoCellAnchor>
  <xdr:twoCellAnchor editAs="oneCell">
    <xdr:from>
      <xdr:col>13</xdr:col>
      <xdr:colOff>444500</xdr:colOff>
      <xdr:row>0</xdr:row>
      <xdr:rowOff>0</xdr:rowOff>
    </xdr:from>
    <xdr:to>
      <xdr:col>27</xdr:col>
      <xdr:colOff>511175</xdr:colOff>
      <xdr:row>62</xdr:row>
      <xdr:rowOff>110227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60F9D4-C80D-4986-AC18-5ACF85ED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0" y="0"/>
          <a:ext cx="8512175" cy="1093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F001-6709-438F-AFFC-F5A4EF482755}">
  <sheetPr codeName="Sheet1"/>
  <dimension ref="A1:AR128"/>
  <sheetViews>
    <sheetView showGridLines="0" tabSelected="1" zoomScale="80" zoomScaleNormal="80" workbookViewId="0">
      <selection activeCell="H7" sqref="H7"/>
    </sheetView>
  </sheetViews>
  <sheetFormatPr defaultColWidth="9.1796875" defaultRowHeight="13" x14ac:dyDescent="0.3"/>
  <cols>
    <col min="1" max="1" width="13.1796875" style="6" customWidth="1"/>
    <col min="2" max="2" width="15.7265625" style="6" hidden="1" customWidth="1"/>
    <col min="3" max="3" width="31.81640625" style="6" customWidth="1"/>
    <col min="4" max="4" width="16.1796875" style="6" customWidth="1"/>
    <col min="5" max="5" width="16.1796875" style="237" customWidth="1"/>
    <col min="6" max="7" width="12.7265625" style="8" hidden="1" customWidth="1"/>
    <col min="8" max="8" width="14.26953125" style="8" customWidth="1"/>
    <col min="9" max="9" width="12.7265625" style="8" customWidth="1"/>
    <col min="10" max="10" width="12.54296875" style="8" customWidth="1"/>
    <col min="11" max="11" width="12.1796875" style="8" customWidth="1"/>
    <col min="12" max="12" width="11.453125" style="8" hidden="1" customWidth="1"/>
    <col min="13" max="13" width="12.54296875" style="8" hidden="1" customWidth="1"/>
    <col min="14" max="14" width="15.7265625" style="9" hidden="1" customWidth="1"/>
    <col min="15" max="15" width="15.7265625" style="8" hidden="1" customWidth="1"/>
    <col min="16" max="16" width="16.81640625" style="8" customWidth="1"/>
    <col min="17" max="17" width="21" style="8" hidden="1" customWidth="1"/>
    <col min="18" max="18" width="15.7265625" style="8" hidden="1" customWidth="1"/>
    <col min="19" max="19" width="11.26953125" style="10" customWidth="1"/>
    <col min="20" max="20" width="9.7265625" style="11" customWidth="1"/>
    <col min="21" max="21" width="11.453125" style="11" customWidth="1"/>
    <col min="22" max="24" width="15.7265625" style="10" hidden="1" customWidth="1"/>
    <col min="25" max="25" width="10.7265625" style="10" hidden="1" customWidth="1"/>
    <col min="26" max="33" width="15.7265625" style="10" hidden="1" customWidth="1"/>
    <col min="34" max="34" width="15.7265625" style="8" hidden="1" customWidth="1"/>
    <col min="35" max="35" width="15.7265625" style="6" hidden="1" customWidth="1"/>
    <col min="36" max="36" width="2.81640625" style="6" customWidth="1"/>
    <col min="37" max="37" width="33.453125" style="6" customWidth="1"/>
    <col min="38" max="38" width="15.7265625" style="6" customWidth="1"/>
    <col min="39" max="39" width="10.7265625" style="7" customWidth="1"/>
    <col min="40" max="40" width="14.54296875" style="6" customWidth="1"/>
    <col min="41" max="41" width="16.26953125" style="10" customWidth="1"/>
    <col min="42" max="42" width="16" style="11" customWidth="1"/>
    <col min="43" max="43" width="9.1796875" style="6" customWidth="1"/>
    <col min="44" max="16384" width="9.1796875" style="6"/>
  </cols>
  <sheetData>
    <row r="1" spans="1:44" s="3" customFormat="1" ht="85.5" customHeight="1" thickBot="1" x14ac:dyDescent="0.35">
      <c r="A1" s="343"/>
      <c r="B1" s="343"/>
      <c r="C1" s="343"/>
      <c r="D1" s="345" t="s">
        <v>338</v>
      </c>
      <c r="E1" s="345"/>
      <c r="F1" s="131"/>
      <c r="G1" s="131"/>
      <c r="H1" s="131"/>
      <c r="I1" s="131"/>
      <c r="J1" s="131"/>
      <c r="K1" s="131"/>
      <c r="L1" s="131"/>
      <c r="M1" s="344" t="s">
        <v>341</v>
      </c>
      <c r="N1" s="344"/>
      <c r="O1" s="344"/>
      <c r="P1" s="344"/>
      <c r="Q1" s="344"/>
      <c r="R1" s="344"/>
      <c r="S1" s="344"/>
      <c r="T1" s="344"/>
      <c r="U1" s="344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L1" s="312"/>
      <c r="AM1" s="312"/>
      <c r="AO1" s="4"/>
      <c r="AP1" s="5"/>
    </row>
    <row r="2" spans="1:44" ht="14" thickTop="1" thickBot="1" x14ac:dyDescent="0.35">
      <c r="E2" s="237" t="s">
        <v>342</v>
      </c>
    </row>
    <row r="3" spans="1:44" ht="19" customHeight="1" thickBot="1" x14ac:dyDescent="0.4">
      <c r="A3" s="167"/>
      <c r="B3" s="165"/>
      <c r="C3" s="165"/>
      <c r="D3" s="166"/>
      <c r="K3" s="269"/>
      <c r="L3" s="56"/>
      <c r="M3" s="346" t="s">
        <v>297</v>
      </c>
      <c r="N3" s="346"/>
      <c r="O3" s="346"/>
      <c r="P3" s="346"/>
      <c r="Q3" s="346"/>
      <c r="R3" s="346"/>
      <c r="S3" s="346"/>
      <c r="T3" s="346"/>
      <c r="U3" s="270"/>
      <c r="V3" s="11"/>
      <c r="AH3" s="10"/>
      <c r="AI3" s="8"/>
      <c r="AJ3" s="313" t="s">
        <v>5</v>
      </c>
      <c r="AK3" s="313"/>
      <c r="AL3" s="313"/>
      <c r="AM3" s="313"/>
      <c r="AN3" s="313"/>
      <c r="AO3" s="313"/>
      <c r="AP3" s="314"/>
      <c r="AQ3" s="11"/>
    </row>
    <row r="4" spans="1:44" ht="33" customHeight="1" x14ac:dyDescent="0.3">
      <c r="A4" s="326" t="s">
        <v>327</v>
      </c>
      <c r="B4" s="327"/>
      <c r="C4" s="327"/>
      <c r="D4" s="327"/>
      <c r="E4" s="328"/>
      <c r="K4" s="268" t="s">
        <v>0</v>
      </c>
      <c r="N4" s="263"/>
      <c r="O4" s="263"/>
      <c r="P4" s="263" t="s">
        <v>1</v>
      </c>
      <c r="Q4" s="56"/>
      <c r="R4" s="263"/>
      <c r="S4" s="264" t="s">
        <v>296</v>
      </c>
      <c r="T4" s="265" t="s">
        <v>2</v>
      </c>
      <c r="U4" s="266" t="s">
        <v>3</v>
      </c>
      <c r="V4" s="11"/>
      <c r="AH4" s="10"/>
      <c r="AI4" s="8"/>
      <c r="AJ4" s="313"/>
      <c r="AK4" s="313"/>
      <c r="AL4" s="313"/>
      <c r="AM4" s="313"/>
      <c r="AN4" s="313"/>
      <c r="AO4" s="313"/>
      <c r="AP4" s="314"/>
      <c r="AQ4" s="11"/>
    </row>
    <row r="5" spans="1:44" ht="19" customHeight="1" thickBot="1" x14ac:dyDescent="0.35">
      <c r="A5" s="329"/>
      <c r="B5" s="330"/>
      <c r="C5" s="330"/>
      <c r="D5" s="330"/>
      <c r="E5" s="331"/>
      <c r="K5" s="73">
        <v>5000</v>
      </c>
      <c r="N5" s="73"/>
      <c r="O5" s="73"/>
      <c r="P5" s="73">
        <v>12999.99</v>
      </c>
      <c r="Q5" s="267"/>
      <c r="R5" s="75"/>
      <c r="S5" s="74">
        <v>0.03</v>
      </c>
      <c r="T5" s="76">
        <v>0.01</v>
      </c>
      <c r="U5" s="76">
        <v>0.04</v>
      </c>
      <c r="V5" s="11"/>
      <c r="AH5" s="10"/>
      <c r="AI5" s="8"/>
      <c r="AJ5" s="313"/>
      <c r="AK5" s="313"/>
      <c r="AL5" s="313"/>
      <c r="AM5" s="313"/>
      <c r="AN5" s="313"/>
      <c r="AO5" s="313"/>
      <c r="AP5" s="314"/>
      <c r="AQ5" s="11"/>
    </row>
    <row r="6" spans="1:44" ht="19" customHeight="1" thickTop="1" x14ac:dyDescent="0.3">
      <c r="A6" s="170" t="s">
        <v>4</v>
      </c>
      <c r="B6" s="136"/>
      <c r="C6" s="223"/>
      <c r="D6" s="143"/>
      <c r="E6" s="238"/>
      <c r="K6" s="73">
        <v>13000</v>
      </c>
      <c r="N6" s="73"/>
      <c r="O6" s="73"/>
      <c r="P6" s="73">
        <v>20999</v>
      </c>
      <c r="R6" s="75"/>
      <c r="S6" s="74">
        <v>0.04</v>
      </c>
      <c r="T6" s="76">
        <v>0.01</v>
      </c>
      <c r="U6" s="76">
        <v>0.05</v>
      </c>
      <c r="V6" s="11"/>
      <c r="AH6" s="10"/>
      <c r="AI6" s="8"/>
      <c r="AQ6" s="11"/>
    </row>
    <row r="7" spans="1:44" ht="19" customHeight="1" x14ac:dyDescent="0.3">
      <c r="A7" s="174" t="s">
        <v>340</v>
      </c>
      <c r="B7" s="132"/>
      <c r="C7" s="224"/>
      <c r="D7" s="144"/>
      <c r="E7" s="239"/>
      <c r="K7" s="73">
        <v>21000</v>
      </c>
      <c r="N7" s="73"/>
      <c r="O7" s="73"/>
      <c r="P7" s="73">
        <v>28999</v>
      </c>
      <c r="R7" s="75"/>
      <c r="S7" s="74">
        <v>0.05</v>
      </c>
      <c r="T7" s="76">
        <v>0.01</v>
      </c>
      <c r="U7" s="76">
        <v>0.06</v>
      </c>
      <c r="V7" s="11"/>
      <c r="AH7" s="10"/>
      <c r="AI7" s="8"/>
      <c r="AK7" s="288" t="s">
        <v>59</v>
      </c>
      <c r="AL7" s="289"/>
      <c r="AM7" s="289"/>
      <c r="AN7" s="289"/>
      <c r="AO7" s="289"/>
      <c r="AP7" s="290"/>
      <c r="AQ7" s="11"/>
    </row>
    <row r="8" spans="1:44" ht="19" customHeight="1" x14ac:dyDescent="0.3">
      <c r="A8" s="171" t="s">
        <v>7</v>
      </c>
      <c r="B8" s="133"/>
      <c r="C8" s="225"/>
      <c r="D8" s="145"/>
      <c r="E8" s="240"/>
      <c r="K8" s="73">
        <v>29000</v>
      </c>
      <c r="N8" s="73"/>
      <c r="O8" s="73"/>
      <c r="P8" s="73">
        <v>36999</v>
      </c>
      <c r="R8" s="75"/>
      <c r="S8" s="74">
        <v>0.06</v>
      </c>
      <c r="T8" s="76">
        <v>0.01</v>
      </c>
      <c r="U8" s="76">
        <v>7.0000000000000007E-2</v>
      </c>
      <c r="V8" s="11"/>
      <c r="AH8" s="10"/>
      <c r="AI8" s="8"/>
      <c r="AK8" s="291"/>
      <c r="AL8" s="292"/>
      <c r="AM8" s="292"/>
      <c r="AN8" s="292"/>
      <c r="AO8" s="292"/>
      <c r="AP8" s="293"/>
      <c r="AQ8" s="11"/>
    </row>
    <row r="9" spans="1:44" ht="19" customHeight="1" x14ac:dyDescent="0.3">
      <c r="A9" s="172" t="s">
        <v>8</v>
      </c>
      <c r="B9" s="134"/>
      <c r="C9" s="271"/>
      <c r="D9" s="146"/>
      <c r="E9" s="241"/>
      <c r="K9" s="73">
        <v>37000</v>
      </c>
      <c r="N9" s="73"/>
      <c r="O9" s="73"/>
      <c r="P9" s="73">
        <v>44999</v>
      </c>
      <c r="R9" s="75"/>
      <c r="S9" s="74">
        <v>0.08</v>
      </c>
      <c r="T9" s="76"/>
      <c r="U9" s="76">
        <v>0.08</v>
      </c>
      <c r="V9" s="11"/>
      <c r="AH9" s="10"/>
      <c r="AI9" s="8"/>
      <c r="AK9" s="291"/>
      <c r="AL9" s="292"/>
      <c r="AM9" s="292"/>
      <c r="AN9" s="292"/>
      <c r="AO9" s="292"/>
      <c r="AP9" s="293"/>
      <c r="AQ9" s="11"/>
    </row>
    <row r="10" spans="1:44" ht="19" customHeight="1" thickBot="1" x14ac:dyDescent="0.35">
      <c r="A10" s="173" t="s">
        <v>9</v>
      </c>
      <c r="B10" s="135"/>
      <c r="C10" s="226"/>
      <c r="D10" s="147"/>
      <c r="E10" s="242"/>
      <c r="K10" s="73">
        <v>45000</v>
      </c>
      <c r="N10" s="73"/>
      <c r="O10" s="73"/>
      <c r="P10" s="73">
        <v>999999.99</v>
      </c>
      <c r="R10" s="75"/>
      <c r="S10" s="74">
        <v>0.09</v>
      </c>
      <c r="T10" s="76"/>
      <c r="U10" s="76">
        <v>0.09</v>
      </c>
      <c r="V10" s="11"/>
      <c r="AH10" s="10"/>
      <c r="AI10" s="8"/>
      <c r="AK10" s="294"/>
      <c r="AL10" s="295"/>
      <c r="AM10" s="295"/>
      <c r="AN10" s="295"/>
      <c r="AO10" s="295"/>
      <c r="AP10" s="296"/>
      <c r="AQ10" s="11"/>
    </row>
    <row r="11" spans="1:44" ht="20.5" customHeight="1" thickTop="1" x14ac:dyDescent="0.3">
      <c r="M11" s="9"/>
      <c r="N11" s="8"/>
      <c r="R11" s="10"/>
      <c r="S11" s="11"/>
      <c r="U11" s="10"/>
      <c r="AG11" s="8"/>
      <c r="AH11" s="6"/>
      <c r="AK11" s="125"/>
      <c r="AL11" s="126"/>
      <c r="AM11" s="127"/>
      <c r="AN11" s="126"/>
      <c r="AO11" s="128"/>
      <c r="AP11" s="129"/>
    </row>
    <row r="12" spans="1:44" ht="18" customHeight="1" thickBot="1" x14ac:dyDescent="0.55000000000000004">
      <c r="A12" s="307" t="s">
        <v>286</v>
      </c>
      <c r="B12" s="307"/>
      <c r="C12" s="307"/>
      <c r="D12" s="7"/>
      <c r="M12" s="9"/>
      <c r="N12" s="8"/>
      <c r="R12" s="10"/>
      <c r="S12" s="11"/>
      <c r="U12" s="10"/>
      <c r="AG12" s="8"/>
      <c r="AH12" s="6"/>
      <c r="AK12" s="26" t="s">
        <v>12</v>
      </c>
      <c r="AL12" s="27" t="s">
        <v>13</v>
      </c>
      <c r="AM12" s="28" t="s">
        <v>14</v>
      </c>
      <c r="AN12" s="27" t="s">
        <v>15</v>
      </c>
      <c r="AO12" s="29" t="s">
        <v>16</v>
      </c>
      <c r="AP12" s="30" t="s">
        <v>17</v>
      </c>
    </row>
    <row r="13" spans="1:44" ht="14.15" customHeight="1" thickTop="1" x14ac:dyDescent="0.5">
      <c r="A13" s="46"/>
      <c r="B13" s="46"/>
      <c r="C13" s="46"/>
      <c r="D13" s="7"/>
      <c r="E13" s="243"/>
      <c r="M13" s="9"/>
      <c r="N13" s="8"/>
      <c r="R13" s="10"/>
      <c r="S13" s="11"/>
      <c r="U13" s="10"/>
      <c r="AG13" s="8"/>
      <c r="AH13" s="6"/>
      <c r="AK13" s="37" t="s">
        <v>72</v>
      </c>
      <c r="AL13" s="38" t="s">
        <v>69</v>
      </c>
      <c r="AM13" s="31">
        <v>4</v>
      </c>
      <c r="AN13" s="19" t="s">
        <v>73</v>
      </c>
      <c r="AO13" s="32">
        <v>0.19500000000000001</v>
      </c>
      <c r="AP13" s="159">
        <f>(AM13*51)/(AO13*43.56)</f>
        <v>24.016387652751288</v>
      </c>
    </row>
    <row r="14" spans="1:44" ht="13.5" customHeight="1" x14ac:dyDescent="0.3">
      <c r="A14" s="101"/>
      <c r="B14" s="101"/>
      <c r="C14" s="101"/>
      <c r="V14" s="10" t="s">
        <v>10</v>
      </c>
      <c r="W14" s="10" t="s">
        <v>287</v>
      </c>
      <c r="AC14" s="10" t="s">
        <v>294</v>
      </c>
      <c r="AD14" s="10" t="s">
        <v>11</v>
      </c>
      <c r="AJ14" s="101"/>
      <c r="AK14" s="37" t="s">
        <v>76</v>
      </c>
      <c r="AL14" s="38" t="s">
        <v>46</v>
      </c>
      <c r="AM14" s="105">
        <v>4</v>
      </c>
      <c r="AN14" s="19" t="s">
        <v>77</v>
      </c>
      <c r="AO14" s="32">
        <v>0.73499999999999999</v>
      </c>
      <c r="AP14" s="159">
        <f>(AM14*127.999939675621)/(AO14*43.56)</f>
        <v>15.991696766754869</v>
      </c>
      <c r="AQ14" s="120"/>
      <c r="AR14" s="120"/>
    </row>
    <row r="15" spans="1:44" ht="14.5" customHeight="1" x14ac:dyDescent="0.3">
      <c r="A15" s="13" t="s">
        <v>18</v>
      </c>
      <c r="B15" s="13"/>
      <c r="C15" s="13"/>
      <c r="D15" s="13"/>
      <c r="E15" s="244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6"/>
      <c r="AI15" s="17"/>
      <c r="AK15" s="26" t="s">
        <v>48</v>
      </c>
      <c r="AL15" s="27" t="s">
        <v>13</v>
      </c>
      <c r="AM15" s="28" t="s">
        <v>14</v>
      </c>
      <c r="AN15" s="27" t="s">
        <v>15</v>
      </c>
      <c r="AO15" s="29" t="s">
        <v>16</v>
      </c>
      <c r="AP15" s="30" t="s">
        <v>17</v>
      </c>
    </row>
    <row r="16" spans="1:44" ht="13" customHeight="1" x14ac:dyDescent="0.3">
      <c r="A16" s="341" t="s">
        <v>20</v>
      </c>
      <c r="B16" s="347" t="s">
        <v>21</v>
      </c>
      <c r="C16" s="347" t="s">
        <v>22</v>
      </c>
      <c r="D16" s="347" t="s">
        <v>13</v>
      </c>
      <c r="E16" s="348" t="s">
        <v>14</v>
      </c>
      <c r="F16" s="336" t="s">
        <v>23</v>
      </c>
      <c r="G16" s="336" t="s">
        <v>24</v>
      </c>
      <c r="H16" s="297" t="s">
        <v>295</v>
      </c>
      <c r="I16" s="297" t="s">
        <v>26</v>
      </c>
      <c r="J16" s="336" t="s">
        <v>336</v>
      </c>
      <c r="K16" s="336" t="s">
        <v>337</v>
      </c>
      <c r="L16" s="297" t="s">
        <v>295</v>
      </c>
      <c r="M16" s="297" t="s">
        <v>26</v>
      </c>
      <c r="N16" s="337" t="s">
        <v>27</v>
      </c>
      <c r="O16" s="336" t="s">
        <v>28</v>
      </c>
      <c r="P16" s="336" t="s">
        <v>335</v>
      </c>
      <c r="Q16" s="336" t="s">
        <v>30</v>
      </c>
      <c r="R16" s="336" t="s">
        <v>31</v>
      </c>
      <c r="S16" s="308" t="s">
        <v>16</v>
      </c>
      <c r="T16" s="310" t="s">
        <v>32</v>
      </c>
      <c r="U16" s="310" t="s">
        <v>33</v>
      </c>
      <c r="V16" s="308" t="s">
        <v>34</v>
      </c>
      <c r="W16" s="308" t="s">
        <v>0</v>
      </c>
      <c r="X16" s="308" t="s">
        <v>35</v>
      </c>
      <c r="Y16" s="308" t="s">
        <v>36</v>
      </c>
      <c r="Z16" s="308" t="s">
        <v>37</v>
      </c>
      <c r="AA16" s="308" t="s">
        <v>38</v>
      </c>
      <c r="AB16" s="308" t="s">
        <v>39</v>
      </c>
      <c r="AC16" s="308" t="s">
        <v>40</v>
      </c>
      <c r="AD16" s="308" t="s">
        <v>41</v>
      </c>
      <c r="AE16" s="308" t="s">
        <v>42</v>
      </c>
      <c r="AF16" s="308" t="s">
        <v>43</v>
      </c>
      <c r="AG16" s="308" t="s">
        <v>44</v>
      </c>
      <c r="AH16" s="336" t="s">
        <v>20</v>
      </c>
      <c r="AI16" s="341" t="s">
        <v>45</v>
      </c>
      <c r="AK16" s="115" t="s">
        <v>49</v>
      </c>
      <c r="AL16" s="116"/>
      <c r="AM16" s="117"/>
      <c r="AN16" s="116"/>
      <c r="AO16" s="118"/>
      <c r="AP16" s="119"/>
    </row>
    <row r="17" spans="1:42" ht="13" customHeight="1" x14ac:dyDescent="0.3">
      <c r="A17" s="342"/>
      <c r="B17" s="342"/>
      <c r="C17" s="342"/>
      <c r="D17" s="342"/>
      <c r="E17" s="349"/>
      <c r="F17" s="298"/>
      <c r="G17" s="298"/>
      <c r="H17" s="298"/>
      <c r="I17" s="298"/>
      <c r="J17" s="298"/>
      <c r="K17" s="298"/>
      <c r="L17" s="298"/>
      <c r="M17" s="298"/>
      <c r="N17" s="338"/>
      <c r="O17" s="298"/>
      <c r="P17" s="298"/>
      <c r="Q17" s="298"/>
      <c r="R17" s="298"/>
      <c r="S17" s="309"/>
      <c r="T17" s="311"/>
      <c r="U17" s="311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298"/>
      <c r="AI17" s="342"/>
    </row>
    <row r="18" spans="1:42" ht="24.65" customHeight="1" x14ac:dyDescent="0.3">
      <c r="A18" s="342"/>
      <c r="B18" s="342"/>
      <c r="C18" s="342"/>
      <c r="D18" s="342"/>
      <c r="E18" s="349"/>
      <c r="F18" s="298"/>
      <c r="G18" s="298"/>
      <c r="H18" s="298"/>
      <c r="I18" s="298"/>
      <c r="J18" s="298"/>
      <c r="K18" s="298"/>
      <c r="L18" s="298"/>
      <c r="M18" s="298"/>
      <c r="N18" s="338"/>
      <c r="O18" s="298"/>
      <c r="P18" s="298"/>
      <c r="Q18" s="298"/>
      <c r="R18" s="298"/>
      <c r="S18" s="309"/>
      <c r="T18" s="311"/>
      <c r="U18" s="311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298"/>
      <c r="AI18" s="342"/>
      <c r="AK18" s="276" t="s">
        <v>86</v>
      </c>
      <c r="AL18" s="315"/>
      <c r="AM18" s="315"/>
      <c r="AN18" s="315"/>
      <c r="AO18" s="315"/>
      <c r="AP18" s="316"/>
    </row>
    <row r="19" spans="1:42" ht="17.5" customHeight="1" x14ac:dyDescent="0.3">
      <c r="A19" s="19">
        <v>1</v>
      </c>
      <c r="B19" s="20" t="s">
        <v>50</v>
      </c>
      <c r="C19" s="20" t="s">
        <v>51</v>
      </c>
      <c r="D19" s="20" t="s">
        <v>52</v>
      </c>
      <c r="E19" s="245"/>
      <c r="F19" s="112">
        <v>1114.3800000000001</v>
      </c>
      <c r="G19" s="22" t="str">
        <f t="shared" ref="G19:G39" si="0">IF(E19*F19= 0,"",E19*F19)</f>
        <v/>
      </c>
      <c r="H19" s="112">
        <v>1114.3800000000001</v>
      </c>
      <c r="I19" s="154" t="str">
        <f>IF(E19*H19= 0,"",E19*H19)</f>
        <v/>
      </c>
      <c r="J19" s="22" t="str">
        <f>IF(E19 ="","",E19*Q19*V19)</f>
        <v/>
      </c>
      <c r="K19" s="22" t="str">
        <f>IF(AD19="","",AD19*E19*Q19)</f>
        <v/>
      </c>
      <c r="L19" s="112">
        <v>1114.3800000000001</v>
      </c>
      <c r="M19" s="154" t="str">
        <f t="shared" ref="M19:M39" si="1">IF(E19*L19= 0,"",E19*L19)</f>
        <v/>
      </c>
      <c r="N19" s="155">
        <f ca="1">IF(AND(AG19 &lt;&gt; "", SUM(V19:AF19) &lt;= AG19), SUM(V19:AF19), AG19)</f>
        <v>0</v>
      </c>
      <c r="O19" s="154" t="str">
        <f t="shared" ref="O19:O39" si="2">IF(E19 ="","",E19*N19*Q19)</f>
        <v/>
      </c>
      <c r="P19" s="154" t="str">
        <f t="shared" ref="P19:P39" si="3">IF(AND(E19&lt;&gt;"",E19&gt;0),((M19/E19)-(O19/E19)),"")</f>
        <v/>
      </c>
      <c r="Q19" s="112">
        <v>1114.3800000000001</v>
      </c>
      <c r="R19" s="22" t="str">
        <f t="shared" ref="R19:R39" si="4">IF(AND(E19&lt;&gt;"",E19&gt;0), E19*P19,"")</f>
        <v/>
      </c>
      <c r="S19" s="23">
        <v>2</v>
      </c>
      <c r="T19" s="156">
        <f t="shared" ref="T19:T39" si="5">S19*43.56</f>
        <v>87.12</v>
      </c>
      <c r="U19" s="156" t="str">
        <f>IF(AND(TRIM(T19)&lt;&gt;"",TRIM(E19)&lt;&gt;""),(E19*319.999849189052)/T19,"")</f>
        <v/>
      </c>
      <c r="V19" s="25" t="str">
        <f ca="1">IF(AND(E19 &lt;&gt;"",E19&gt;0), IFERROR(VLOOKUP(E19,INDIRECT(AI19),3,TRUE),0), "")</f>
        <v/>
      </c>
      <c r="W19" s="25" t="str">
        <f t="shared" ref="W19:W33" si="6">IF(AND($AC$81&lt;0.08,$L$88="YES",$AH$81&gt;=5000,E19&lt;&gt;"",E19&gt;0),0.01,"")</f>
        <v/>
      </c>
      <c r="X19" s="25"/>
      <c r="Y19" s="25"/>
      <c r="Z19" s="25"/>
      <c r="AA19" s="25"/>
      <c r="AB19" s="25"/>
      <c r="AC19" s="25" t="str">
        <f t="shared" ref="AC19:AC33" si="7">IF(AND(A19 = 1, E19 &lt;&gt;""), $AC$81,"")</f>
        <v/>
      </c>
      <c r="AD19" s="97" t="str">
        <f>IF(E19 = "", "", IF(OR(AND(AND(E19 &gt;= 4, E19 &lt;= 999999), AND(SUM(E22) &gt;= 3, SUM(E22) &lt; 999999)),AND(AND(E19 &gt;= 4, E19 &lt;= 999999), AND(SUM(E33) &gt;= 24, SUM(E33) &lt; 999999)),AND(AND(E19 &gt;= 4, E19 &lt;= 999999), AND(SUM(E24) &gt;= 12, SUM(E24) &lt; 999999))), 0.0224339991744288,""))</f>
        <v/>
      </c>
      <c r="AE19" s="25"/>
      <c r="AF19" s="25"/>
      <c r="AG19" s="25">
        <v>1</v>
      </c>
      <c r="AH19" s="22">
        <f t="shared" ref="AH19:AH39" si="8">IF(E19 = "",0,Q19*E19)</f>
        <v>0</v>
      </c>
      <c r="AI19" s="20" t="s">
        <v>53</v>
      </c>
      <c r="AK19" s="317"/>
      <c r="AL19" s="318"/>
      <c r="AM19" s="318"/>
      <c r="AN19" s="318"/>
      <c r="AO19" s="318"/>
      <c r="AP19" s="319"/>
    </row>
    <row r="20" spans="1:42" ht="17.5" customHeight="1" x14ac:dyDescent="0.3">
      <c r="A20" s="19">
        <v>1</v>
      </c>
      <c r="B20" s="20" t="s">
        <v>56</v>
      </c>
      <c r="C20" s="20" t="s">
        <v>57</v>
      </c>
      <c r="D20" s="20" t="s">
        <v>19</v>
      </c>
      <c r="E20" s="245"/>
      <c r="F20" s="112">
        <v>155.5</v>
      </c>
      <c r="G20" s="22" t="str">
        <f t="shared" si="0"/>
        <v/>
      </c>
      <c r="H20" s="112">
        <v>155.5</v>
      </c>
      <c r="I20" s="154" t="str">
        <f t="shared" ref="I20:I39" si="9">IF(E20*H20= 0,"",E20*H20)</f>
        <v/>
      </c>
      <c r="J20" s="22" t="str">
        <f>IF(E20 ="","",E20*Q20*V20)</f>
        <v/>
      </c>
      <c r="K20" s="22"/>
      <c r="L20" s="112">
        <v>155.5</v>
      </c>
      <c r="M20" s="154" t="str">
        <f t="shared" si="1"/>
        <v/>
      </c>
      <c r="N20" s="155">
        <f ca="1">IF(AND(AG20 &lt;&gt; "", SUM(V20:AF20) &lt;= AG20), SUM(V20:AF20), AG20)</f>
        <v>0</v>
      </c>
      <c r="O20" s="154" t="str">
        <f t="shared" si="2"/>
        <v/>
      </c>
      <c r="P20" s="154" t="str">
        <f t="shared" si="3"/>
        <v/>
      </c>
      <c r="Q20" s="112">
        <v>155.5</v>
      </c>
      <c r="R20" s="22" t="str">
        <f t="shared" si="4"/>
        <v/>
      </c>
      <c r="S20" s="23">
        <v>0.22900000000000001</v>
      </c>
      <c r="T20" s="156">
        <f t="shared" si="5"/>
        <v>9.9752400000000012</v>
      </c>
      <c r="U20" s="156" t="str">
        <f>IF(AND(TRIM(T20)&lt;&gt;"",TRIM(E20)&lt;&gt;""),(E20*10)/T20,"")</f>
        <v/>
      </c>
      <c r="V20" s="25" t="str">
        <f ca="1">IF(AND(E20 &lt;&gt;"",E20&gt;0), IFERROR(VLOOKUP(E20,INDIRECT(AI20),3,TRUE),0), "")</f>
        <v/>
      </c>
      <c r="W20" s="25" t="str">
        <f t="shared" si="6"/>
        <v/>
      </c>
      <c r="X20" s="25"/>
      <c r="Y20" s="25"/>
      <c r="Z20" s="25"/>
      <c r="AA20" s="25"/>
      <c r="AB20" s="25"/>
      <c r="AC20" s="25" t="str">
        <f t="shared" si="7"/>
        <v/>
      </c>
      <c r="AD20" s="25" t="str">
        <f>IF(E20 = "", "", IF(AND(AND(E20 &gt;= 16, E20 &lt;= 999999), AND(SUM(E34:E36) &gt;= 2, SUM(E34:E36) &lt; 999999)), 0.0680272109,""))</f>
        <v/>
      </c>
      <c r="AE20" s="25"/>
      <c r="AF20" s="25"/>
      <c r="AG20" s="25">
        <v>1</v>
      </c>
      <c r="AH20" s="22">
        <f t="shared" si="8"/>
        <v>0</v>
      </c>
      <c r="AI20" s="20" t="s">
        <v>58</v>
      </c>
      <c r="AK20" s="317"/>
      <c r="AL20" s="318"/>
      <c r="AM20" s="318"/>
      <c r="AN20" s="318"/>
      <c r="AO20" s="318"/>
      <c r="AP20" s="319"/>
    </row>
    <row r="21" spans="1:42" ht="17.5" customHeight="1" thickBot="1" x14ac:dyDescent="0.35">
      <c r="A21" s="19">
        <v>1</v>
      </c>
      <c r="B21" s="20" t="s">
        <v>60</v>
      </c>
      <c r="C21" s="20" t="s">
        <v>61</v>
      </c>
      <c r="D21" s="20" t="s">
        <v>62</v>
      </c>
      <c r="E21" s="245"/>
      <c r="F21" s="112">
        <v>1439.75</v>
      </c>
      <c r="G21" s="22" t="str">
        <f t="shared" si="0"/>
        <v/>
      </c>
      <c r="H21" s="112">
        <v>1439.75</v>
      </c>
      <c r="I21" s="154" t="str">
        <f t="shared" si="9"/>
        <v/>
      </c>
      <c r="J21" s="22" t="str">
        <f>IF(E21 ="","",E21*Q21*V21)</f>
        <v/>
      </c>
      <c r="K21" s="22"/>
      <c r="L21" s="112">
        <v>1439.75</v>
      </c>
      <c r="M21" s="154" t="str">
        <f t="shared" si="1"/>
        <v/>
      </c>
      <c r="N21" s="155">
        <f>IF(AND(AG21 &lt;&gt; "", SUM(V21:AF21) &lt;= AG21), SUM(V21:AF21), AG21)</f>
        <v>0</v>
      </c>
      <c r="O21" s="154" t="str">
        <f t="shared" si="2"/>
        <v/>
      </c>
      <c r="P21" s="154" t="str">
        <f t="shared" si="3"/>
        <v/>
      </c>
      <c r="Q21" s="112">
        <v>1439.75</v>
      </c>
      <c r="R21" s="22" t="str">
        <f t="shared" si="4"/>
        <v/>
      </c>
      <c r="S21" s="23">
        <v>4</v>
      </c>
      <c r="T21" s="156">
        <f t="shared" si="5"/>
        <v>174.24</v>
      </c>
      <c r="U21" s="156" t="str">
        <f>IF(AND(TRIM(T21)&lt;&gt;"",TRIM(E21)&lt;&gt;""),(E21*703.999999010471)/T21,"")</f>
        <v/>
      </c>
      <c r="V21" s="25"/>
      <c r="W21" s="25" t="str">
        <f t="shared" si="6"/>
        <v/>
      </c>
      <c r="X21" s="25"/>
      <c r="Y21" s="25"/>
      <c r="Z21" s="25"/>
      <c r="AA21" s="25"/>
      <c r="AB21" s="25"/>
      <c r="AC21" s="25" t="str">
        <f t="shared" si="7"/>
        <v/>
      </c>
      <c r="AD21" s="25" t="str">
        <f>IF(E21 = "", "", IF(AND(AND(E21 &gt;= 3, E21 &lt;= 999999), AND(SUM(E19:E19) &gt;= 4, SUM(E19:E19) &lt; 999999)), 0.024232633279,""))</f>
        <v/>
      </c>
      <c r="AE21" s="25"/>
      <c r="AF21" s="25"/>
      <c r="AG21" s="25">
        <v>1</v>
      </c>
      <c r="AH21" s="22">
        <f t="shared" si="8"/>
        <v>0</v>
      </c>
      <c r="AI21" s="20"/>
      <c r="AK21" s="320"/>
      <c r="AL21" s="321"/>
      <c r="AM21" s="321"/>
      <c r="AN21" s="321"/>
      <c r="AO21" s="321"/>
      <c r="AP21" s="322"/>
    </row>
    <row r="22" spans="1:42" ht="17.5" customHeight="1" thickTop="1" x14ac:dyDescent="0.3">
      <c r="A22" s="19">
        <v>1</v>
      </c>
      <c r="B22" s="20" t="s">
        <v>60</v>
      </c>
      <c r="C22" s="20" t="s">
        <v>63</v>
      </c>
      <c r="D22" s="20" t="s">
        <v>62</v>
      </c>
      <c r="E22" s="245"/>
      <c r="F22" s="112">
        <v>1439.75</v>
      </c>
      <c r="G22" s="22" t="str">
        <f t="shared" si="0"/>
        <v/>
      </c>
      <c r="H22" s="112">
        <v>1354</v>
      </c>
      <c r="I22" s="154" t="str">
        <f t="shared" si="9"/>
        <v/>
      </c>
      <c r="J22" s="22"/>
      <c r="K22" s="22" t="str">
        <f>IF(E22 ="","",E22*Q22*AD22)</f>
        <v/>
      </c>
      <c r="L22" s="112">
        <v>1354</v>
      </c>
      <c r="M22" s="154" t="str">
        <f t="shared" si="1"/>
        <v/>
      </c>
      <c r="N22" s="155">
        <f>IF(AND(AG22 &lt;&gt; "", SUM(V22:AF22) &lt;= AG22), SUM(V22:AF22), AG22)</f>
        <v>0</v>
      </c>
      <c r="O22" s="154" t="str">
        <f t="shared" si="2"/>
        <v/>
      </c>
      <c r="P22" s="154" t="str">
        <f t="shared" si="3"/>
        <v/>
      </c>
      <c r="Q22" s="112">
        <v>1354</v>
      </c>
      <c r="R22" s="22" t="str">
        <f t="shared" si="4"/>
        <v/>
      </c>
      <c r="S22" s="23">
        <v>4</v>
      </c>
      <c r="T22" s="156">
        <f t="shared" si="5"/>
        <v>174.24</v>
      </c>
      <c r="U22" s="156" t="str">
        <f>IF(AND(TRIM(T22)&lt;&gt;"",TRIM(E22)&lt;&gt;""),(E22*703.999999010471)/T22,"")</f>
        <v/>
      </c>
      <c r="V22" s="25"/>
      <c r="W22" s="25" t="str">
        <f t="shared" si="6"/>
        <v/>
      </c>
      <c r="X22" s="25"/>
      <c r="Y22" s="25"/>
      <c r="Z22" s="25"/>
      <c r="AA22" s="25"/>
      <c r="AB22" s="25"/>
      <c r="AC22" s="25" t="str">
        <f t="shared" si="7"/>
        <v/>
      </c>
      <c r="AD22" s="25" t="str">
        <f>IF(E22 = "", "", IF(AND(AND(E22 &gt;= 3, E22 &lt;= 999999), AND(SUM(E19:E19) &gt;= 4, SUM(E19:E19) &lt; 999999)), 0.0221565731166913,""))</f>
        <v/>
      </c>
      <c r="AE22" s="25"/>
      <c r="AF22" s="25"/>
      <c r="AG22" s="25">
        <v>1</v>
      </c>
      <c r="AH22" s="22">
        <f t="shared" si="8"/>
        <v>0</v>
      </c>
      <c r="AI22" s="20"/>
      <c r="AK22" s="126"/>
      <c r="AL22" s="126"/>
      <c r="AM22" s="127"/>
      <c r="AN22" s="126"/>
      <c r="AO22" s="128"/>
      <c r="AP22" s="130"/>
    </row>
    <row r="23" spans="1:42" ht="17.5" customHeight="1" x14ac:dyDescent="0.3">
      <c r="A23" s="19">
        <v>1</v>
      </c>
      <c r="B23" s="20"/>
      <c r="C23" s="104" t="s">
        <v>64</v>
      </c>
      <c r="D23" s="20" t="s">
        <v>65</v>
      </c>
      <c r="E23" s="245"/>
      <c r="F23" s="112">
        <v>359.94</v>
      </c>
      <c r="G23" s="22" t="str">
        <f t="shared" si="0"/>
        <v/>
      </c>
      <c r="H23" s="112">
        <v>359.94</v>
      </c>
      <c r="I23" s="154" t="str">
        <f t="shared" si="9"/>
        <v/>
      </c>
      <c r="J23" s="22"/>
      <c r="K23" s="22"/>
      <c r="L23" s="112">
        <v>359.94</v>
      </c>
      <c r="M23" s="154" t="str">
        <f t="shared" si="1"/>
        <v/>
      </c>
      <c r="N23" s="155">
        <f t="shared" ref="N23:N24" si="10">IF(AND(AG23 &lt;&gt; "", SUM(V23:AF23) &lt;= AG23), SUM(V23:AF23), AG23)</f>
        <v>0</v>
      </c>
      <c r="O23" s="154" t="str">
        <f t="shared" si="2"/>
        <v/>
      </c>
      <c r="P23" s="154" t="str">
        <f t="shared" si="3"/>
        <v/>
      </c>
      <c r="Q23" s="112">
        <v>359.94</v>
      </c>
      <c r="R23" s="22" t="str">
        <f t="shared" si="4"/>
        <v/>
      </c>
      <c r="S23" s="23">
        <v>4</v>
      </c>
      <c r="T23" s="156">
        <f t="shared" si="5"/>
        <v>174.24</v>
      </c>
      <c r="U23" s="156" t="str">
        <f>IF(AND(TRIM(T23)&lt;&gt;"",TRIM(E23)&lt;&gt;""),(E23*176)/T23,"")</f>
        <v/>
      </c>
      <c r="V23" s="25"/>
      <c r="W23" s="25" t="str">
        <f t="shared" si="6"/>
        <v/>
      </c>
      <c r="X23" s="25"/>
      <c r="Y23" s="25"/>
      <c r="Z23" s="25"/>
      <c r="AA23" s="25"/>
      <c r="AB23" s="25"/>
      <c r="AC23" s="25" t="str">
        <f t="shared" si="7"/>
        <v/>
      </c>
      <c r="AD23" s="25" t="str">
        <f>IF(E23 = "", "", IF(AND(AND(E23 &gt;= 9, E23 &lt;= 999999), AND(SUM(E19) &gt;= 4, SUM(E19) &lt; 999999)), 0.0237341772151899,""))</f>
        <v/>
      </c>
      <c r="AE23" s="25"/>
      <c r="AF23" s="25"/>
      <c r="AG23" s="25">
        <v>1</v>
      </c>
      <c r="AH23" s="22">
        <f t="shared" si="8"/>
        <v>0</v>
      </c>
      <c r="AI23" s="20"/>
      <c r="AK23" s="39" t="s">
        <v>12</v>
      </c>
      <c r="AL23" s="27" t="s">
        <v>13</v>
      </c>
      <c r="AM23" s="28" t="s">
        <v>14</v>
      </c>
      <c r="AN23" s="27" t="s">
        <v>15</v>
      </c>
      <c r="AO23" s="29" t="s">
        <v>16</v>
      </c>
      <c r="AP23" s="40" t="s">
        <v>17</v>
      </c>
    </row>
    <row r="24" spans="1:42" ht="17.5" customHeight="1" x14ac:dyDescent="0.3">
      <c r="A24" s="19">
        <v>1</v>
      </c>
      <c r="B24" s="20"/>
      <c r="C24" s="104" t="s">
        <v>66</v>
      </c>
      <c r="D24" s="20" t="s">
        <v>65</v>
      </c>
      <c r="E24" s="245"/>
      <c r="F24" s="112">
        <v>359.94</v>
      </c>
      <c r="G24" s="22" t="str">
        <f t="shared" si="0"/>
        <v/>
      </c>
      <c r="H24" s="112">
        <v>338.5</v>
      </c>
      <c r="I24" s="154" t="str">
        <f t="shared" si="9"/>
        <v/>
      </c>
      <c r="J24" s="22"/>
      <c r="K24" s="22" t="str">
        <f>IF(AD24="","",AD24*E24*Q24)</f>
        <v/>
      </c>
      <c r="L24" s="112">
        <v>338.5</v>
      </c>
      <c r="M24" s="154" t="str">
        <f t="shared" si="1"/>
        <v/>
      </c>
      <c r="N24" s="155">
        <f t="shared" si="10"/>
        <v>0</v>
      </c>
      <c r="O24" s="154" t="str">
        <f t="shared" si="2"/>
        <v/>
      </c>
      <c r="P24" s="154" t="str">
        <f t="shared" si="3"/>
        <v/>
      </c>
      <c r="Q24" s="112">
        <v>338.5</v>
      </c>
      <c r="R24" s="22" t="str">
        <f t="shared" si="4"/>
        <v/>
      </c>
      <c r="S24" s="23">
        <v>4</v>
      </c>
      <c r="T24" s="156">
        <f t="shared" si="5"/>
        <v>174.24</v>
      </c>
      <c r="U24" s="156" t="str">
        <f>IF(AND(TRIM(T24)&lt;&gt;"",TRIM(E24)&lt;&gt;""),(E24*176)/T24,"")</f>
        <v/>
      </c>
      <c r="V24" s="25"/>
      <c r="W24" s="25" t="str">
        <f t="shared" si="6"/>
        <v/>
      </c>
      <c r="X24" s="25"/>
      <c r="Y24" s="25"/>
      <c r="Z24" s="25"/>
      <c r="AA24" s="25"/>
      <c r="AB24" s="25"/>
      <c r="AC24" s="25" t="str">
        <f t="shared" si="7"/>
        <v/>
      </c>
      <c r="AD24" s="25" t="str">
        <f>IF(E24 = "", "", IF(AND(AND(E24 &gt;= 12, E24 &lt;= 999999), AND(SUM(E19) &gt;= 4, SUM(E19) &lt; 999999)),0.0221565731166913,""))</f>
        <v/>
      </c>
      <c r="AE24" s="25"/>
      <c r="AF24" s="25"/>
      <c r="AG24" s="25">
        <v>1</v>
      </c>
      <c r="AH24" s="22">
        <f t="shared" si="8"/>
        <v>0</v>
      </c>
      <c r="AI24" s="20"/>
      <c r="AK24" s="41" t="s">
        <v>96</v>
      </c>
      <c r="AL24" s="38" t="s">
        <v>97</v>
      </c>
      <c r="AM24" s="31">
        <v>2</v>
      </c>
      <c r="AN24" s="19" t="s">
        <v>47</v>
      </c>
      <c r="AO24" s="32">
        <v>0.13800000000000001</v>
      </c>
      <c r="AP24" s="159">
        <f>(AM24*127.999939675621)/(AO24*43.56)</f>
        <v>42.586583781031983</v>
      </c>
    </row>
    <row r="25" spans="1:42" ht="17.5" customHeight="1" x14ac:dyDescent="0.3">
      <c r="A25" s="19">
        <v>1</v>
      </c>
      <c r="B25" s="20" t="s">
        <v>67</v>
      </c>
      <c r="C25" s="20" t="s">
        <v>68</v>
      </c>
      <c r="D25" s="20" t="s">
        <v>69</v>
      </c>
      <c r="E25" s="245"/>
      <c r="F25" s="112">
        <v>673.2</v>
      </c>
      <c r="G25" s="22" t="str">
        <f t="shared" si="0"/>
        <v/>
      </c>
      <c r="H25" s="112">
        <v>673.2</v>
      </c>
      <c r="I25" s="154" t="str">
        <f t="shared" si="9"/>
        <v/>
      </c>
      <c r="J25" s="22"/>
      <c r="K25" s="22" t="str">
        <f>IF(AD25="","",AD25*E25*Q25)</f>
        <v/>
      </c>
      <c r="L25" s="112">
        <v>673.2</v>
      </c>
      <c r="M25" s="154" t="str">
        <f t="shared" si="1"/>
        <v/>
      </c>
      <c r="N25" s="155">
        <f t="shared" ref="N25:N39" si="11">IF(AND(AG25 &lt;&gt; "", SUM(V25:AF25) &lt;= AG25), SUM(V25:AF25), AG25)</f>
        <v>0</v>
      </c>
      <c r="O25" s="154" t="str">
        <f t="shared" si="2"/>
        <v/>
      </c>
      <c r="P25" s="154" t="str">
        <f t="shared" si="3"/>
        <v/>
      </c>
      <c r="Q25" s="112">
        <v>673.2</v>
      </c>
      <c r="R25" s="22" t="str">
        <f t="shared" si="4"/>
        <v/>
      </c>
      <c r="S25" s="23">
        <v>0.19600000000000001</v>
      </c>
      <c r="T25" s="156">
        <f t="shared" si="5"/>
        <v>8.5377600000000005</v>
      </c>
      <c r="U25" s="156" t="str">
        <f>IF(AND(TRIM(T25)&lt;&gt;"",TRIM(E25)&lt;&gt;""),(E25*51)/T25,"")</f>
        <v/>
      </c>
      <c r="V25" s="25"/>
      <c r="W25" s="25" t="str">
        <f t="shared" si="6"/>
        <v/>
      </c>
      <c r="X25" s="25"/>
      <c r="Y25" s="25"/>
      <c r="Z25" s="25"/>
      <c r="AA25" s="25"/>
      <c r="AB25" s="25"/>
      <c r="AC25" s="25" t="str">
        <f t="shared" si="7"/>
        <v/>
      </c>
      <c r="AD25" s="25" t="str">
        <f>IF(E25 = "", "", IF(AND(AND(E25 &gt;= 4, E25 &lt;= 999999), AND(SUM(E38:E38) &gt;= 4, SUM(E38:E38) &lt; 999999)), 0.0445632798573975,""))</f>
        <v/>
      </c>
      <c r="AE25" s="25"/>
      <c r="AF25" s="25"/>
      <c r="AG25" s="25">
        <v>1</v>
      </c>
      <c r="AH25" s="22">
        <f t="shared" si="8"/>
        <v>0</v>
      </c>
      <c r="AI25" s="20"/>
      <c r="AK25" s="41" t="s">
        <v>102</v>
      </c>
      <c r="AL25" s="38" t="s">
        <v>103</v>
      </c>
      <c r="AM25" s="31">
        <v>6</v>
      </c>
      <c r="AN25" s="19" t="s">
        <v>104</v>
      </c>
      <c r="AO25" s="32">
        <v>2.3E-2</v>
      </c>
      <c r="AP25" s="159">
        <f>(AM25*6)/(AO25*43.56)</f>
        <v>35.932446999640675</v>
      </c>
    </row>
    <row r="26" spans="1:42" ht="17.5" customHeight="1" x14ac:dyDescent="0.3">
      <c r="A26" s="19">
        <v>1</v>
      </c>
      <c r="B26" s="20" t="s">
        <v>78</v>
      </c>
      <c r="C26" s="20" t="s">
        <v>79</v>
      </c>
      <c r="D26" s="20" t="s">
        <v>80</v>
      </c>
      <c r="E26" s="245"/>
      <c r="F26" s="112">
        <v>1778</v>
      </c>
      <c r="G26" s="22" t="str">
        <f t="shared" si="0"/>
        <v/>
      </c>
      <c r="H26" s="112">
        <v>1778</v>
      </c>
      <c r="I26" s="154" t="str">
        <f t="shared" si="9"/>
        <v/>
      </c>
      <c r="J26" s="22"/>
      <c r="K26" s="22"/>
      <c r="L26" s="112">
        <v>1778</v>
      </c>
      <c r="M26" s="154" t="str">
        <f t="shared" si="1"/>
        <v/>
      </c>
      <c r="N26" s="155">
        <f t="shared" si="11"/>
        <v>0</v>
      </c>
      <c r="O26" s="154" t="str">
        <f t="shared" si="2"/>
        <v/>
      </c>
      <c r="P26" s="154" t="str">
        <f t="shared" si="3"/>
        <v/>
      </c>
      <c r="Q26" s="112">
        <v>1778</v>
      </c>
      <c r="R26" s="22" t="str">
        <f t="shared" si="4"/>
        <v/>
      </c>
      <c r="S26" s="23">
        <v>0.39</v>
      </c>
      <c r="T26" s="156">
        <f t="shared" si="5"/>
        <v>16.988400000000002</v>
      </c>
      <c r="U26" s="156" t="str">
        <f>IF(AND(TRIM(T26)&lt;&gt;"",TRIM(E26)&lt;&gt;""),(E26*17.1)/T26,"")</f>
        <v/>
      </c>
      <c r="V26" s="25"/>
      <c r="W26" s="25" t="str">
        <f t="shared" si="6"/>
        <v/>
      </c>
      <c r="X26" s="25"/>
      <c r="Y26" s="25"/>
      <c r="Z26" s="25"/>
      <c r="AA26" s="25"/>
      <c r="AB26" s="25"/>
      <c r="AC26" s="25" t="str">
        <f t="shared" si="7"/>
        <v/>
      </c>
      <c r="AD26" s="25"/>
      <c r="AE26" s="25"/>
      <c r="AF26" s="25"/>
      <c r="AG26" s="25">
        <v>1</v>
      </c>
      <c r="AH26" s="22">
        <f t="shared" si="8"/>
        <v>0</v>
      </c>
      <c r="AI26" s="20"/>
      <c r="AK26" s="39" t="s">
        <v>48</v>
      </c>
      <c r="AL26" s="27" t="s">
        <v>13</v>
      </c>
      <c r="AM26" s="28" t="s">
        <v>14</v>
      </c>
      <c r="AN26" s="27" t="s">
        <v>15</v>
      </c>
      <c r="AO26" s="29" t="s">
        <v>16</v>
      </c>
      <c r="AP26" s="40" t="s">
        <v>17</v>
      </c>
    </row>
    <row r="27" spans="1:42" ht="17.5" customHeight="1" x14ac:dyDescent="0.3">
      <c r="A27" s="19">
        <v>1</v>
      </c>
      <c r="B27" s="20" t="s">
        <v>78</v>
      </c>
      <c r="C27" s="20" t="s">
        <v>81</v>
      </c>
      <c r="D27" s="20" t="s">
        <v>80</v>
      </c>
      <c r="E27" s="245"/>
      <c r="F27" s="112">
        <v>1778</v>
      </c>
      <c r="G27" s="22" t="str">
        <f t="shared" si="0"/>
        <v/>
      </c>
      <c r="H27" s="112">
        <v>1601</v>
      </c>
      <c r="I27" s="154" t="str">
        <f t="shared" si="9"/>
        <v/>
      </c>
      <c r="J27" s="22"/>
      <c r="K27" s="22"/>
      <c r="L27" s="112">
        <v>1601</v>
      </c>
      <c r="M27" s="154" t="str">
        <f t="shared" si="1"/>
        <v/>
      </c>
      <c r="N27" s="155">
        <f t="shared" si="11"/>
        <v>0</v>
      </c>
      <c r="O27" s="154" t="str">
        <f t="shared" si="2"/>
        <v/>
      </c>
      <c r="P27" s="154" t="str">
        <f t="shared" si="3"/>
        <v/>
      </c>
      <c r="Q27" s="112">
        <v>1601</v>
      </c>
      <c r="R27" s="22" t="str">
        <f t="shared" si="4"/>
        <v/>
      </c>
      <c r="S27" s="23">
        <v>0.39</v>
      </c>
      <c r="T27" s="156">
        <f t="shared" si="5"/>
        <v>16.988400000000002</v>
      </c>
      <c r="U27" s="156" t="str">
        <f>IF(AND(TRIM(T27)&lt;&gt;"",TRIM(E27)&lt;&gt;""),(E27*17.1)/T27,"")</f>
        <v/>
      </c>
      <c r="V27" s="25"/>
      <c r="W27" s="25" t="str">
        <f t="shared" si="6"/>
        <v/>
      </c>
      <c r="X27" s="25"/>
      <c r="Y27" s="25"/>
      <c r="Z27" s="25"/>
      <c r="AA27" s="25"/>
      <c r="AB27" s="25"/>
      <c r="AC27" s="25" t="str">
        <f t="shared" si="7"/>
        <v/>
      </c>
      <c r="AD27" s="25"/>
      <c r="AE27" s="25"/>
      <c r="AF27" s="25"/>
      <c r="AG27" s="25">
        <v>1</v>
      </c>
      <c r="AH27" s="22">
        <f t="shared" si="8"/>
        <v>0</v>
      </c>
      <c r="AI27" s="20"/>
      <c r="AK27" s="19" t="s">
        <v>49</v>
      </c>
      <c r="AL27" s="19"/>
      <c r="AM27" s="31"/>
      <c r="AN27" s="19"/>
      <c r="AO27" s="113"/>
      <c r="AP27" s="114"/>
    </row>
    <row r="28" spans="1:42" ht="17.5" customHeight="1" x14ac:dyDescent="0.3">
      <c r="A28" s="19">
        <v>1</v>
      </c>
      <c r="B28" s="20" t="s">
        <v>82</v>
      </c>
      <c r="C28" s="20" t="s">
        <v>83</v>
      </c>
      <c r="D28" s="20" t="s">
        <v>52</v>
      </c>
      <c r="E28" s="245"/>
      <c r="F28" s="175">
        <v>508.75</v>
      </c>
      <c r="G28" s="22" t="str">
        <f t="shared" si="0"/>
        <v/>
      </c>
      <c r="H28" s="175">
        <v>508.75</v>
      </c>
      <c r="I28" s="154" t="str">
        <f t="shared" si="9"/>
        <v/>
      </c>
      <c r="J28" s="22" t="str">
        <f>IF(E28 ="","",E28*Q28*V28)</f>
        <v/>
      </c>
      <c r="K28" s="22" t="str">
        <f>IF(AD28="","",AD28*E28*Q28)</f>
        <v/>
      </c>
      <c r="L28" s="175">
        <v>508.75</v>
      </c>
      <c r="M28" s="154" t="str">
        <f t="shared" si="1"/>
        <v/>
      </c>
      <c r="N28" s="155">
        <f t="shared" ca="1" si="11"/>
        <v>0</v>
      </c>
      <c r="O28" s="154" t="str">
        <f t="shared" si="2"/>
        <v/>
      </c>
      <c r="P28" s="154" t="str">
        <f t="shared" si="3"/>
        <v/>
      </c>
      <c r="Q28" s="175">
        <v>508.75</v>
      </c>
      <c r="R28" s="22" t="str">
        <f t="shared" si="4"/>
        <v/>
      </c>
      <c r="S28" s="23">
        <v>4</v>
      </c>
      <c r="T28" s="156">
        <f t="shared" si="5"/>
        <v>174.24</v>
      </c>
      <c r="U28" s="156" t="str">
        <f>IF(AND(TRIM(T28)&lt;&gt;"",TRIM(E28)&lt;&gt;""),(E28*319.999849189052)/T28,"")</f>
        <v/>
      </c>
      <c r="V28" s="25" t="str">
        <f ca="1">IF(AND(E28 &lt;&gt;"",E28&gt;0), IFERROR(VLOOKUP(E28,INDIRECT(AI28),3,TRUE),0), "")</f>
        <v/>
      </c>
      <c r="W28" s="25" t="str">
        <f t="shared" si="6"/>
        <v/>
      </c>
      <c r="X28" s="25"/>
      <c r="Y28" s="25"/>
      <c r="Z28" s="25"/>
      <c r="AA28" s="25"/>
      <c r="AB28" s="25"/>
      <c r="AC28" s="25" t="str">
        <f t="shared" si="7"/>
        <v/>
      </c>
      <c r="AD28" s="25" t="str">
        <f>IF(E28 = "", "", IF(AND(AND(E28 &gt;= 6, E28 &lt;= 999999), AND(SUM(E30:E30) &gt;= 2, SUM(E30:E30) &lt; 999999)), 0.050602409638,""))</f>
        <v/>
      </c>
      <c r="AE28" s="25"/>
      <c r="AF28" s="25"/>
      <c r="AG28" s="25">
        <v>1</v>
      </c>
      <c r="AH28" s="22">
        <f t="shared" si="8"/>
        <v>0</v>
      </c>
      <c r="AI28" s="20" t="s">
        <v>84</v>
      </c>
    </row>
    <row r="29" spans="1:42" ht="17.5" customHeight="1" x14ac:dyDescent="0.3">
      <c r="A29" s="19">
        <v>1</v>
      </c>
      <c r="B29" s="20" t="s">
        <v>82</v>
      </c>
      <c r="C29" s="20" t="s">
        <v>85</v>
      </c>
      <c r="D29" s="20" t="s">
        <v>52</v>
      </c>
      <c r="E29" s="245"/>
      <c r="F29" s="175">
        <v>508.75</v>
      </c>
      <c r="G29" s="22" t="str">
        <f t="shared" si="0"/>
        <v/>
      </c>
      <c r="H29" s="112">
        <v>447.5</v>
      </c>
      <c r="I29" s="154" t="str">
        <f t="shared" si="9"/>
        <v/>
      </c>
      <c r="J29" s="22" t="str">
        <f>IF(E29 ="","",E29*Q29*V29)</f>
        <v/>
      </c>
      <c r="K29" s="22" t="str">
        <f>IF(AD29="","",AD29*E29*Q29)</f>
        <v/>
      </c>
      <c r="L29" s="112">
        <v>447.5</v>
      </c>
      <c r="M29" s="154" t="str">
        <f t="shared" si="1"/>
        <v/>
      </c>
      <c r="N29" s="155">
        <f t="shared" ca="1" si="11"/>
        <v>0</v>
      </c>
      <c r="O29" s="154" t="str">
        <f t="shared" si="2"/>
        <v/>
      </c>
      <c r="P29" s="154" t="str">
        <f t="shared" si="3"/>
        <v/>
      </c>
      <c r="Q29" s="112">
        <v>447.5</v>
      </c>
      <c r="R29" s="22" t="str">
        <f t="shared" si="4"/>
        <v/>
      </c>
      <c r="S29" s="23">
        <v>4</v>
      </c>
      <c r="T29" s="156">
        <f t="shared" si="5"/>
        <v>174.24</v>
      </c>
      <c r="U29" s="156" t="str">
        <f>IF(AND(TRIM(T29)&lt;&gt;"",TRIM(E29)&lt;&gt;""),(E29*319.999849189052)/T29,"")</f>
        <v/>
      </c>
      <c r="V29" s="25" t="str">
        <f ca="1">IF(AND(E29 &lt;&gt;"",E29&gt;0), IFERROR(VLOOKUP(E29,INDIRECT(AI29),3,TRUE),0), "")</f>
        <v/>
      </c>
      <c r="W29" s="25" t="str">
        <f t="shared" si="6"/>
        <v/>
      </c>
      <c r="X29" s="25"/>
      <c r="Y29" s="25"/>
      <c r="Z29" s="25"/>
      <c r="AA29" s="25"/>
      <c r="AB29" s="25"/>
      <c r="AC29" s="25" t="str">
        <f t="shared" si="7"/>
        <v/>
      </c>
      <c r="AD29" s="25" t="str">
        <f>IF(E29 = "", "", IF(AND(AND(E29 &gt;= 6, E29 &lt;= 999999), AND(SUM(E30:E30) &gt;= 2, SUM(E30:E30) &lt; 999999)), 0.046927374301676,""))</f>
        <v/>
      </c>
      <c r="AE29" s="25"/>
      <c r="AF29" s="25"/>
      <c r="AG29" s="25">
        <v>1</v>
      </c>
      <c r="AH29" s="22">
        <f t="shared" si="8"/>
        <v>0</v>
      </c>
      <c r="AI29" s="20" t="s">
        <v>84</v>
      </c>
    </row>
    <row r="30" spans="1:42" ht="17.5" customHeight="1" x14ac:dyDescent="0.3">
      <c r="A30" s="19">
        <v>1</v>
      </c>
      <c r="B30" s="20" t="s">
        <v>90</v>
      </c>
      <c r="C30" s="20" t="s">
        <v>91</v>
      </c>
      <c r="D30" s="20" t="s">
        <v>52</v>
      </c>
      <c r="E30" s="245"/>
      <c r="F30" s="112">
        <v>444.75</v>
      </c>
      <c r="G30" s="22" t="str">
        <f t="shared" si="0"/>
        <v/>
      </c>
      <c r="H30" s="112">
        <v>444.75</v>
      </c>
      <c r="I30" s="154" t="str">
        <f t="shared" si="9"/>
        <v/>
      </c>
      <c r="J30" s="22" t="str">
        <f>IF(E30 ="","",E30*Q30*V30)</f>
        <v/>
      </c>
      <c r="K30" s="22" t="str">
        <f>IF(AD30="","",AD30*E30*Q30)</f>
        <v/>
      </c>
      <c r="L30" s="112">
        <v>444.75</v>
      </c>
      <c r="M30" s="154" t="str">
        <f t="shared" si="1"/>
        <v/>
      </c>
      <c r="N30" s="155">
        <f t="shared" ca="1" si="11"/>
        <v>0</v>
      </c>
      <c r="O30" s="154" t="str">
        <f t="shared" si="2"/>
        <v/>
      </c>
      <c r="P30" s="154" t="str">
        <f t="shared" si="3"/>
        <v/>
      </c>
      <c r="Q30" s="112">
        <v>444.75</v>
      </c>
      <c r="R30" s="22" t="str">
        <f t="shared" si="4"/>
        <v/>
      </c>
      <c r="S30" s="23">
        <v>1</v>
      </c>
      <c r="T30" s="156">
        <f t="shared" si="5"/>
        <v>43.56</v>
      </c>
      <c r="U30" s="156" t="str">
        <f>IF(AND(TRIM(T30)&lt;&gt;"",TRIM(E30)&lt;&gt;""),(E30*319.999849189052)/T30,"")</f>
        <v/>
      </c>
      <c r="V30" s="25" t="str">
        <f ca="1">IF(AND(E30 &lt;&gt;"",E30&gt;0), IFERROR(VLOOKUP(E30,INDIRECT(AI30),3,TRUE),0), "")</f>
        <v/>
      </c>
      <c r="W30" s="25" t="str">
        <f t="shared" si="6"/>
        <v/>
      </c>
      <c r="X30" s="25"/>
      <c r="Y30" s="25"/>
      <c r="Z30" s="25"/>
      <c r="AA30" s="25"/>
      <c r="AB30" s="25"/>
      <c r="AC30" s="25" t="str">
        <f t="shared" si="7"/>
        <v/>
      </c>
      <c r="AD30" s="25" t="str">
        <f>IF(E30 = "", "", IF(AND(AND(E30 &gt;= 2, E30 &lt;= 999999), AND(SUM(E28:E29) &gt;= 6, SUM(E28:E29) &lt; 999999)), 0.0472175379426644,""))</f>
        <v/>
      </c>
      <c r="AE30" s="25"/>
      <c r="AF30" s="25"/>
      <c r="AG30" s="25">
        <v>1</v>
      </c>
      <c r="AH30" s="22">
        <f t="shared" si="8"/>
        <v>0</v>
      </c>
      <c r="AI30" s="20" t="s">
        <v>92</v>
      </c>
      <c r="AK30" s="276" t="s">
        <v>110</v>
      </c>
      <c r="AL30" s="315"/>
      <c r="AM30" s="315"/>
      <c r="AN30" s="315"/>
      <c r="AO30" s="315"/>
      <c r="AP30" s="316"/>
    </row>
    <row r="31" spans="1:42" ht="17.5" customHeight="1" x14ac:dyDescent="0.3">
      <c r="A31" s="19">
        <v>1</v>
      </c>
      <c r="B31" s="20" t="s">
        <v>93</v>
      </c>
      <c r="C31" s="20" t="s">
        <v>94</v>
      </c>
      <c r="D31" s="20" t="s">
        <v>95</v>
      </c>
      <c r="E31" s="245"/>
      <c r="F31" s="112">
        <v>674.25</v>
      </c>
      <c r="G31" s="22" t="str">
        <f t="shared" si="0"/>
        <v/>
      </c>
      <c r="H31" s="112">
        <v>674.25</v>
      </c>
      <c r="I31" s="154" t="str">
        <f t="shared" si="9"/>
        <v/>
      </c>
      <c r="J31" s="22"/>
      <c r="K31" s="22"/>
      <c r="L31" s="112">
        <v>674.25</v>
      </c>
      <c r="M31" s="154" t="str">
        <f t="shared" si="1"/>
        <v/>
      </c>
      <c r="N31" s="155">
        <f t="shared" si="11"/>
        <v>0</v>
      </c>
      <c r="O31" s="154" t="str">
        <f t="shared" si="2"/>
        <v/>
      </c>
      <c r="P31" s="154" t="str">
        <f t="shared" si="3"/>
        <v/>
      </c>
      <c r="Q31" s="112">
        <v>674.25</v>
      </c>
      <c r="R31" s="22" t="str">
        <f t="shared" si="4"/>
        <v/>
      </c>
      <c r="S31" s="23">
        <v>0.4</v>
      </c>
      <c r="T31" s="156">
        <f t="shared" si="5"/>
        <v>17.424000000000003</v>
      </c>
      <c r="U31" s="156" t="str">
        <f>IF(AND(TRIM(T31)&lt;&gt;"",TRIM(E31)&lt;&gt;""),(E31*87)/T31,"")</f>
        <v/>
      </c>
      <c r="V31" s="25"/>
      <c r="W31" s="25" t="str">
        <f t="shared" si="6"/>
        <v/>
      </c>
      <c r="X31" s="25"/>
      <c r="Y31" s="25"/>
      <c r="Z31" s="25"/>
      <c r="AA31" s="25"/>
      <c r="AB31" s="25"/>
      <c r="AC31" s="25" t="str">
        <f t="shared" si="7"/>
        <v/>
      </c>
      <c r="AD31" s="25"/>
      <c r="AE31" s="25"/>
      <c r="AF31" s="25"/>
      <c r="AG31" s="25">
        <v>1</v>
      </c>
      <c r="AH31" s="22">
        <f t="shared" si="8"/>
        <v>0</v>
      </c>
      <c r="AI31" s="20"/>
      <c r="AK31" s="317"/>
      <c r="AL31" s="318"/>
      <c r="AM31" s="318"/>
      <c r="AN31" s="318"/>
      <c r="AO31" s="318"/>
      <c r="AP31" s="319"/>
    </row>
    <row r="32" spans="1:42" ht="17.5" customHeight="1" x14ac:dyDescent="0.3">
      <c r="A32" s="19">
        <v>1</v>
      </c>
      <c r="B32" s="20" t="s">
        <v>98</v>
      </c>
      <c r="C32" s="20" t="s">
        <v>99</v>
      </c>
      <c r="D32" s="20" t="s">
        <v>100</v>
      </c>
      <c r="E32" s="245"/>
      <c r="F32" s="112">
        <v>190.25</v>
      </c>
      <c r="G32" s="22" t="str">
        <f t="shared" si="0"/>
        <v/>
      </c>
      <c r="H32" s="112">
        <v>190.25</v>
      </c>
      <c r="I32" s="154" t="str">
        <f t="shared" si="9"/>
        <v/>
      </c>
      <c r="J32" s="22"/>
      <c r="K32" s="22"/>
      <c r="L32" s="112">
        <v>190.25</v>
      </c>
      <c r="M32" s="154" t="str">
        <f t="shared" si="1"/>
        <v/>
      </c>
      <c r="N32" s="155">
        <f t="shared" si="11"/>
        <v>0</v>
      </c>
      <c r="O32" s="154" t="str">
        <f t="shared" si="2"/>
        <v/>
      </c>
      <c r="P32" s="154" t="str">
        <f t="shared" si="3"/>
        <v/>
      </c>
      <c r="Q32" s="112">
        <v>190.25</v>
      </c>
      <c r="R32" s="22" t="str">
        <f t="shared" si="4"/>
        <v/>
      </c>
      <c r="S32" s="23">
        <v>4</v>
      </c>
      <c r="T32" s="156">
        <f t="shared" si="5"/>
        <v>174.24</v>
      </c>
      <c r="U32" s="156" t="str">
        <f>IF(AND(TRIM(T32)&lt;&gt;"",TRIM(E32)&lt;&gt;""),(E32*87.9999998763089)/T32,"")</f>
        <v/>
      </c>
      <c r="V32" s="25"/>
      <c r="W32" s="25" t="str">
        <f t="shared" si="6"/>
        <v/>
      </c>
      <c r="X32" s="25"/>
      <c r="Y32" s="25"/>
      <c r="Z32" s="25"/>
      <c r="AA32" s="25"/>
      <c r="AB32" s="25"/>
      <c r="AC32" s="25" t="str">
        <f t="shared" si="7"/>
        <v/>
      </c>
      <c r="AD32" s="25" t="str">
        <f>IF(E32 = "", "", IF(AND(AND(E32 &gt;= 24, E32 &lt;= 999999), AND(SUM(E19:E19) &gt;= 4, SUM(E19:E19) &lt; 999999)), 0.025,""))</f>
        <v/>
      </c>
      <c r="AE32" s="25"/>
      <c r="AF32" s="25"/>
      <c r="AG32" s="25">
        <v>1</v>
      </c>
      <c r="AH32" s="22">
        <f t="shared" si="8"/>
        <v>0</v>
      </c>
      <c r="AI32" s="20" t="s">
        <v>101</v>
      </c>
      <c r="AK32" s="317"/>
      <c r="AL32" s="318"/>
      <c r="AM32" s="318"/>
      <c r="AN32" s="318"/>
      <c r="AO32" s="318"/>
      <c r="AP32" s="319"/>
    </row>
    <row r="33" spans="1:42" ht="17.5" customHeight="1" thickBot="1" x14ac:dyDescent="0.35">
      <c r="A33" s="19">
        <v>1</v>
      </c>
      <c r="B33" s="20" t="s">
        <v>98</v>
      </c>
      <c r="C33" s="20" t="s">
        <v>105</v>
      </c>
      <c r="D33" s="20" t="s">
        <v>100</v>
      </c>
      <c r="E33" s="245"/>
      <c r="F33" s="112">
        <v>190.25</v>
      </c>
      <c r="G33" s="22" t="str">
        <f t="shared" si="0"/>
        <v/>
      </c>
      <c r="H33" s="112">
        <v>174</v>
      </c>
      <c r="I33" s="154" t="str">
        <f t="shared" si="9"/>
        <v/>
      </c>
      <c r="J33" s="22"/>
      <c r="K33" s="22" t="str">
        <f>IF(AD33="","",AD33*E33*Q33)</f>
        <v/>
      </c>
      <c r="L33" s="112">
        <v>174</v>
      </c>
      <c r="M33" s="154" t="str">
        <f t="shared" si="1"/>
        <v/>
      </c>
      <c r="N33" s="155">
        <f t="shared" si="11"/>
        <v>0</v>
      </c>
      <c r="O33" s="154" t="str">
        <f t="shared" si="2"/>
        <v/>
      </c>
      <c r="P33" s="154" t="str">
        <f t="shared" si="3"/>
        <v/>
      </c>
      <c r="Q33" s="112">
        <v>174</v>
      </c>
      <c r="R33" s="22" t="str">
        <f t="shared" si="4"/>
        <v/>
      </c>
      <c r="S33" s="23">
        <v>4</v>
      </c>
      <c r="T33" s="156">
        <f t="shared" si="5"/>
        <v>174.24</v>
      </c>
      <c r="U33" s="156" t="str">
        <f>IF(AND(TRIM(T33)&lt;&gt;"",TRIM(E33)&lt;&gt;""),(E33*87.9999998763089)/T33,"")</f>
        <v/>
      </c>
      <c r="V33" s="25"/>
      <c r="W33" s="25" t="str">
        <f t="shared" si="6"/>
        <v/>
      </c>
      <c r="X33" s="25"/>
      <c r="Y33" s="25"/>
      <c r="Z33" s="25"/>
      <c r="AA33" s="25"/>
      <c r="AB33" s="25"/>
      <c r="AC33" s="25" t="str">
        <f t="shared" si="7"/>
        <v/>
      </c>
      <c r="AD33" s="25" t="str">
        <f>IF(E33 = "", "", IF(AND(AND(E33 &gt;= 24, E33 &lt;= 999999), AND(SUM(E19:E19) &gt;= 4, SUM(E19:E19) &lt; 999999)), 0.0517241379310345,""))</f>
        <v/>
      </c>
      <c r="AE33" s="25"/>
      <c r="AF33" s="25"/>
      <c r="AG33" s="25">
        <v>1</v>
      </c>
      <c r="AH33" s="22">
        <f t="shared" si="8"/>
        <v>0</v>
      </c>
      <c r="AI33" s="20" t="s">
        <v>101</v>
      </c>
      <c r="AK33" s="320"/>
      <c r="AL33" s="321"/>
      <c r="AM33" s="321"/>
      <c r="AN33" s="321"/>
      <c r="AO33" s="321"/>
      <c r="AP33" s="322"/>
    </row>
    <row r="34" spans="1:42" ht="17.5" customHeight="1" thickTop="1" x14ac:dyDescent="0.3">
      <c r="A34" s="19">
        <v>1</v>
      </c>
      <c r="B34" s="20" t="s">
        <v>106</v>
      </c>
      <c r="C34" s="104" t="s">
        <v>107</v>
      </c>
      <c r="D34" s="104" t="s">
        <v>97</v>
      </c>
      <c r="E34" s="246"/>
      <c r="F34" s="112">
        <v>1898.25</v>
      </c>
      <c r="G34" s="22" t="str">
        <f t="shared" si="0"/>
        <v/>
      </c>
      <c r="H34" s="112">
        <v>1898.25</v>
      </c>
      <c r="I34" s="154" t="str">
        <f t="shared" si="9"/>
        <v/>
      </c>
      <c r="J34" s="22"/>
      <c r="K34" s="22"/>
      <c r="L34" s="112">
        <v>1898.25</v>
      </c>
      <c r="M34" s="154" t="str">
        <f t="shared" si="1"/>
        <v/>
      </c>
      <c r="N34" s="155">
        <f t="shared" si="11"/>
        <v>0</v>
      </c>
      <c r="O34" s="154" t="str">
        <f t="shared" si="2"/>
        <v/>
      </c>
      <c r="P34" s="154" t="str">
        <f t="shared" si="3"/>
        <v/>
      </c>
      <c r="Q34" s="112">
        <v>1898.25</v>
      </c>
      <c r="R34" s="22" t="str">
        <f t="shared" si="4"/>
        <v/>
      </c>
      <c r="S34" s="23">
        <v>0.13800000000000001</v>
      </c>
      <c r="T34" s="156">
        <f t="shared" si="5"/>
        <v>6.0112800000000011</v>
      </c>
      <c r="U34" s="156" t="str">
        <f>IF(AND(TRIM(T34)&lt;&gt;"",TRIM(E34)&lt;&gt;""),(E34*127.999939675621)/T34,"")</f>
        <v/>
      </c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>
        <v>1</v>
      </c>
      <c r="AH34" s="22">
        <f t="shared" si="8"/>
        <v>0</v>
      </c>
      <c r="AI34" s="20"/>
      <c r="AK34" s="126"/>
      <c r="AL34" s="126"/>
      <c r="AM34" s="127"/>
      <c r="AN34" s="126"/>
      <c r="AO34" s="128"/>
      <c r="AP34" s="130"/>
    </row>
    <row r="35" spans="1:42" ht="17.5" customHeight="1" x14ac:dyDescent="0.3">
      <c r="A35" s="19">
        <v>1</v>
      </c>
      <c r="B35" s="20" t="s">
        <v>106</v>
      </c>
      <c r="C35" s="104" t="s">
        <v>108</v>
      </c>
      <c r="D35" s="104" t="s">
        <v>97</v>
      </c>
      <c r="E35" s="246"/>
      <c r="F35" s="112">
        <v>1898.25</v>
      </c>
      <c r="G35" s="22" t="str">
        <f t="shared" si="0"/>
        <v/>
      </c>
      <c r="H35" s="112">
        <v>1629.4</v>
      </c>
      <c r="I35" s="154" t="str">
        <f t="shared" si="9"/>
        <v/>
      </c>
      <c r="J35" s="22"/>
      <c r="K35" s="22"/>
      <c r="L35" s="112">
        <v>1629.4</v>
      </c>
      <c r="M35" s="154" t="str">
        <f t="shared" si="1"/>
        <v/>
      </c>
      <c r="N35" s="155">
        <f t="shared" si="11"/>
        <v>0</v>
      </c>
      <c r="O35" s="154" t="str">
        <f t="shared" si="2"/>
        <v/>
      </c>
      <c r="P35" s="154" t="str">
        <f t="shared" si="3"/>
        <v/>
      </c>
      <c r="Q35" s="112">
        <v>1629.4</v>
      </c>
      <c r="R35" s="22" t="str">
        <f t="shared" si="4"/>
        <v/>
      </c>
      <c r="S35" s="23">
        <v>0.13800000000000001</v>
      </c>
      <c r="T35" s="156">
        <f t="shared" si="5"/>
        <v>6.0112800000000011</v>
      </c>
      <c r="U35" s="156" t="str">
        <f>IF(AND(TRIM(T35)&lt;&gt;"",TRIM(E35)&lt;&gt;""),(E35*127.999939675621)/T35,"")</f>
        <v/>
      </c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>
        <v>1</v>
      </c>
      <c r="AH35" s="22">
        <f t="shared" si="8"/>
        <v>0</v>
      </c>
      <c r="AI35" s="20"/>
      <c r="AK35" s="39" t="s">
        <v>12</v>
      </c>
      <c r="AL35" s="27" t="s">
        <v>13</v>
      </c>
      <c r="AM35" s="28" t="s">
        <v>14</v>
      </c>
      <c r="AN35" s="27" t="s">
        <v>15</v>
      </c>
      <c r="AO35" s="29" t="s">
        <v>16</v>
      </c>
      <c r="AP35" s="40" t="s">
        <v>17</v>
      </c>
    </row>
    <row r="36" spans="1:42" ht="17.5" customHeight="1" x14ac:dyDescent="0.3">
      <c r="A36" s="19">
        <v>1</v>
      </c>
      <c r="B36" s="20" t="s">
        <v>106</v>
      </c>
      <c r="C36" s="104" t="s">
        <v>109</v>
      </c>
      <c r="D36" s="104" t="s">
        <v>97</v>
      </c>
      <c r="E36" s="246"/>
      <c r="F36" s="112">
        <v>1898.25</v>
      </c>
      <c r="G36" s="22" t="str">
        <f t="shared" si="0"/>
        <v/>
      </c>
      <c r="H36" s="112">
        <v>1463.7</v>
      </c>
      <c r="I36" s="154" t="str">
        <f t="shared" si="9"/>
        <v/>
      </c>
      <c r="J36" s="22"/>
      <c r="K36" s="22"/>
      <c r="L36" s="112">
        <v>1463.7</v>
      </c>
      <c r="M36" s="154" t="str">
        <f t="shared" si="1"/>
        <v/>
      </c>
      <c r="N36" s="155">
        <f t="shared" si="11"/>
        <v>0</v>
      </c>
      <c r="O36" s="154" t="str">
        <f t="shared" si="2"/>
        <v/>
      </c>
      <c r="P36" s="154" t="str">
        <f t="shared" si="3"/>
        <v/>
      </c>
      <c r="Q36" s="112">
        <v>1463.7</v>
      </c>
      <c r="R36" s="22" t="str">
        <f t="shared" si="4"/>
        <v/>
      </c>
      <c r="S36" s="23">
        <v>0.13800000000000001</v>
      </c>
      <c r="T36" s="156">
        <f t="shared" si="5"/>
        <v>6.0112800000000011</v>
      </c>
      <c r="U36" s="156" t="str">
        <f>IF(AND(TRIM(T36)&lt;&gt;"",TRIM(E36)&lt;&gt;""),(E36*127.999939675621)/T36,"")</f>
        <v/>
      </c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>
        <v>1</v>
      </c>
      <c r="AH36" s="22">
        <f t="shared" si="8"/>
        <v>0</v>
      </c>
      <c r="AI36" s="20"/>
      <c r="AK36" s="41" t="s">
        <v>123</v>
      </c>
      <c r="AL36" s="38" t="s">
        <v>52</v>
      </c>
      <c r="AM36" s="31">
        <v>4</v>
      </c>
      <c r="AN36" s="19" t="s">
        <v>124</v>
      </c>
      <c r="AO36" s="32">
        <v>2</v>
      </c>
      <c r="AP36" s="159">
        <f>(AM36*319.999849189052)/(AO36*43.56)</f>
        <v>14.692371404456013</v>
      </c>
    </row>
    <row r="37" spans="1:42" ht="23.15" customHeight="1" x14ac:dyDescent="0.3">
      <c r="A37" s="19">
        <v>1</v>
      </c>
      <c r="B37" s="20" t="s">
        <v>111</v>
      </c>
      <c r="C37" s="20" t="s">
        <v>112</v>
      </c>
      <c r="D37" s="20" t="s">
        <v>113</v>
      </c>
      <c r="E37" s="245"/>
      <c r="F37" s="112">
        <v>110.5</v>
      </c>
      <c r="G37" s="22" t="str">
        <f t="shared" si="0"/>
        <v/>
      </c>
      <c r="H37" s="112">
        <v>110.5</v>
      </c>
      <c r="I37" s="154" t="str">
        <f t="shared" si="9"/>
        <v/>
      </c>
      <c r="J37" s="22" t="str">
        <f>IF(E37 ="","",E37*Q37*V37)</f>
        <v/>
      </c>
      <c r="K37" s="22"/>
      <c r="L37" s="112">
        <v>110.5</v>
      </c>
      <c r="M37" s="154" t="str">
        <f t="shared" si="1"/>
        <v/>
      </c>
      <c r="N37" s="155">
        <f t="shared" ca="1" si="11"/>
        <v>0</v>
      </c>
      <c r="O37" s="154" t="str">
        <f t="shared" si="2"/>
        <v/>
      </c>
      <c r="P37" s="154" t="str">
        <f t="shared" si="3"/>
        <v/>
      </c>
      <c r="Q37" s="112">
        <v>110.5</v>
      </c>
      <c r="R37" s="22" t="str">
        <f t="shared" si="4"/>
        <v/>
      </c>
      <c r="S37" s="23">
        <v>3.45</v>
      </c>
      <c r="T37" s="156">
        <f t="shared" si="5"/>
        <v>150.28200000000001</v>
      </c>
      <c r="U37" s="156" t="str">
        <f>IF(AND(TRIM(T37)&lt;&gt;"",TRIM(E37)&lt;&gt;""),(E37*50)/T37,"")</f>
        <v/>
      </c>
      <c r="V37" s="25" t="str">
        <f ca="1">IF(AND(E37 &lt;&gt;"",E37&gt;0), IFERROR(VLOOKUP(E37,INDIRECT(AI37),3,TRUE),0), "")</f>
        <v/>
      </c>
      <c r="W37" s="25" t="str">
        <f>IF(AND($AC$81&lt;0.08,$L$88="YES",$AH$81&gt;=5000,E37&lt;&gt;"",E37&gt;0),0.01,"")</f>
        <v/>
      </c>
      <c r="X37" s="25"/>
      <c r="Y37" s="25"/>
      <c r="Z37" s="25"/>
      <c r="AA37" s="25"/>
      <c r="AB37" s="25"/>
      <c r="AC37" s="25" t="str">
        <f>IF(AND(A37 = 1, E37 &lt;&gt;""), $AC$81,"")</f>
        <v/>
      </c>
      <c r="AD37" s="25"/>
      <c r="AE37" s="25"/>
      <c r="AF37" s="25"/>
      <c r="AG37" s="25">
        <v>1</v>
      </c>
      <c r="AH37" s="22">
        <f t="shared" si="8"/>
        <v>0</v>
      </c>
      <c r="AI37" s="20" t="s">
        <v>114</v>
      </c>
      <c r="AK37" s="148" t="s">
        <v>127</v>
      </c>
      <c r="AL37" s="148" t="s">
        <v>128</v>
      </c>
      <c r="AM37" s="150" t="s">
        <v>129</v>
      </c>
      <c r="AN37" s="108" t="s">
        <v>130</v>
      </c>
      <c r="AO37" s="109">
        <v>4</v>
      </c>
      <c r="AP37" s="160">
        <f>(3*703.999999010471)/(AO37*43.56)</f>
        <v>12.121212104174775</v>
      </c>
    </row>
    <row r="38" spans="1:42" ht="17.5" customHeight="1" x14ac:dyDescent="0.3">
      <c r="A38" s="19">
        <v>1</v>
      </c>
      <c r="B38" s="20" t="s">
        <v>118</v>
      </c>
      <c r="C38" s="20" t="s">
        <v>119</v>
      </c>
      <c r="D38" s="20" t="s">
        <v>46</v>
      </c>
      <c r="E38" s="245"/>
      <c r="F38" s="112">
        <v>457</v>
      </c>
      <c r="G38" s="22" t="str">
        <f t="shared" si="0"/>
        <v/>
      </c>
      <c r="H38" s="112">
        <v>457</v>
      </c>
      <c r="I38" s="154" t="str">
        <f t="shared" si="9"/>
        <v/>
      </c>
      <c r="J38" s="22"/>
      <c r="K38" s="22" t="str">
        <f>IF(AD38="","",AD38*E38*Q38)</f>
        <v/>
      </c>
      <c r="L38" s="112">
        <v>457</v>
      </c>
      <c r="M38" s="154" t="str">
        <f t="shared" si="1"/>
        <v/>
      </c>
      <c r="N38" s="155">
        <f t="shared" si="11"/>
        <v>0</v>
      </c>
      <c r="O38" s="154" t="str">
        <f t="shared" si="2"/>
        <v/>
      </c>
      <c r="P38" s="154" t="str">
        <f t="shared" si="3"/>
        <v/>
      </c>
      <c r="Q38" s="112">
        <v>457</v>
      </c>
      <c r="R38" s="22" t="str">
        <f t="shared" si="4"/>
        <v/>
      </c>
      <c r="S38" s="23">
        <v>0.73499999999999999</v>
      </c>
      <c r="T38" s="156">
        <f t="shared" si="5"/>
        <v>32.016600000000004</v>
      </c>
      <c r="U38" s="156" t="str">
        <f>IF(AND(TRIM(T38)&lt;&gt;"",TRIM(E38)&lt;&gt;""),(E38*127.999939675621)/T38,"")</f>
        <v/>
      </c>
      <c r="V38" s="25"/>
      <c r="W38" s="25" t="str">
        <f>IF(AND($AC$81&lt;0.08,$L$88="YES",$AH$81&gt;=5000,E38&lt;&gt;"",E38&gt;0),0.01,"")</f>
        <v/>
      </c>
      <c r="X38" s="25"/>
      <c r="Y38" s="25"/>
      <c r="Z38" s="25"/>
      <c r="AA38" s="25"/>
      <c r="AB38" s="25"/>
      <c r="AC38" s="25" t="str">
        <f>IF(AND(A38 = 1, E38 &lt;&gt;""), $AC$81,"")</f>
        <v/>
      </c>
      <c r="AD38" s="25" t="str">
        <f>IF(E38 = "", "", IF(AND(AND(E38 &gt;= 4, E38 &lt;= 999999), AND(SUM(E25:E25) &gt;= 4, SUM(E25:E25) &lt; 999999)), 0.0437636761487965,""))</f>
        <v/>
      </c>
      <c r="AE38" s="25"/>
      <c r="AF38" s="25"/>
      <c r="AG38" s="25">
        <v>1</v>
      </c>
      <c r="AH38" s="22">
        <f t="shared" si="8"/>
        <v>0</v>
      </c>
      <c r="AI38" s="20"/>
      <c r="AK38" s="39" t="s">
        <v>48</v>
      </c>
      <c r="AL38" s="27" t="s">
        <v>13</v>
      </c>
      <c r="AM38" s="28" t="s">
        <v>14</v>
      </c>
      <c r="AN38" s="27" t="s">
        <v>15</v>
      </c>
      <c r="AO38" s="29" t="s">
        <v>16</v>
      </c>
      <c r="AP38" s="40" t="s">
        <v>17</v>
      </c>
    </row>
    <row r="39" spans="1:42" ht="17.5" customHeight="1" x14ac:dyDescent="0.3">
      <c r="A39" s="19">
        <v>1</v>
      </c>
      <c r="B39" s="20" t="s">
        <v>120</v>
      </c>
      <c r="C39" s="20" t="s">
        <v>121</v>
      </c>
      <c r="D39" s="20" t="s">
        <v>103</v>
      </c>
      <c r="E39" s="245"/>
      <c r="F39" s="112">
        <v>389.7</v>
      </c>
      <c r="G39" s="22" t="str">
        <f t="shared" si="0"/>
        <v/>
      </c>
      <c r="H39" s="112">
        <v>389.7</v>
      </c>
      <c r="I39" s="154" t="str">
        <f t="shared" si="9"/>
        <v/>
      </c>
      <c r="J39" s="22"/>
      <c r="K39" s="22" t="str">
        <f>IF(AD39="","",AD39*E39*Q39)</f>
        <v/>
      </c>
      <c r="L39" s="112">
        <v>389.7</v>
      </c>
      <c r="M39" s="154" t="str">
        <f t="shared" si="1"/>
        <v/>
      </c>
      <c r="N39" s="155">
        <f t="shared" si="11"/>
        <v>0</v>
      </c>
      <c r="O39" s="154" t="str">
        <f t="shared" si="2"/>
        <v/>
      </c>
      <c r="P39" s="154" t="str">
        <f t="shared" si="3"/>
        <v/>
      </c>
      <c r="Q39" s="112">
        <v>389.7</v>
      </c>
      <c r="R39" s="22" t="str">
        <f t="shared" si="4"/>
        <v/>
      </c>
      <c r="S39" s="23">
        <v>2.3E-2</v>
      </c>
      <c r="T39" s="156">
        <f t="shared" si="5"/>
        <v>1.0018800000000001</v>
      </c>
      <c r="U39" s="156" t="str">
        <f>IF(AND(TRIM(T39)&lt;&gt;"",TRIM(E39)&lt;&gt;""),(E39*6)/T39,"")</f>
        <v/>
      </c>
      <c r="V39" s="25"/>
      <c r="W39" s="25" t="str">
        <f>IF(AND($AC$81&lt;0.08,$L$88="YES",$AH$81&gt;=5000,E39&lt;&gt;"",E39&gt;0),0.01,"")</f>
        <v/>
      </c>
      <c r="X39" s="25"/>
      <c r="Y39" s="25"/>
      <c r="Z39" s="25"/>
      <c r="AA39" s="25"/>
      <c r="AB39" s="25"/>
      <c r="AC39" s="25" t="str">
        <f>IF(AND(A39 = 1, E39 &lt;&gt;""), $AC$81,"")</f>
        <v/>
      </c>
      <c r="AD39" s="25" t="str">
        <f>IF(E39 = "", "", IF(AND(AND(E39 &gt;= 6, E39 &lt;= 999999), AND(SUM(E34:E36) &gt;= 2, SUM(E34:E36) &lt; 999999)), 0.0641519117269695,""))</f>
        <v/>
      </c>
      <c r="AE39" s="25"/>
      <c r="AF39" s="25"/>
      <c r="AG39" s="25">
        <v>1</v>
      </c>
      <c r="AH39" s="22">
        <f t="shared" si="8"/>
        <v>0</v>
      </c>
      <c r="AI39" s="20"/>
      <c r="AK39" s="19" t="s">
        <v>49</v>
      </c>
      <c r="AL39" s="19"/>
      <c r="AM39" s="31"/>
      <c r="AN39" s="19"/>
      <c r="AO39" s="113"/>
      <c r="AP39" s="114"/>
    </row>
    <row r="40" spans="1:42" ht="22" hidden="1" customHeight="1" x14ac:dyDescent="0.3">
      <c r="A40" s="33" t="s">
        <v>122</v>
      </c>
      <c r="B40" s="33"/>
      <c r="C40" s="33"/>
      <c r="D40" s="33"/>
      <c r="E40" s="247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4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6"/>
      <c r="AI40" s="17"/>
    </row>
    <row r="41" spans="1:42" ht="17.5" hidden="1" customHeight="1" x14ac:dyDescent="0.3">
      <c r="A41" s="184" t="s">
        <v>125</v>
      </c>
      <c r="B41" s="187" t="s">
        <v>21</v>
      </c>
      <c r="C41" s="187" t="s">
        <v>22</v>
      </c>
      <c r="D41" s="187" t="s">
        <v>13</v>
      </c>
      <c r="E41" s="248" t="s">
        <v>14</v>
      </c>
      <c r="F41" s="188" t="s">
        <v>23</v>
      </c>
      <c r="G41" s="188" t="s">
        <v>24</v>
      </c>
      <c r="H41" s="188"/>
      <c r="I41" s="191" t="s">
        <v>26</v>
      </c>
      <c r="J41" s="188"/>
      <c r="K41" s="188"/>
      <c r="L41" s="191" t="s">
        <v>25</v>
      </c>
      <c r="M41" s="191" t="s">
        <v>26</v>
      </c>
      <c r="N41" s="194" t="s">
        <v>27</v>
      </c>
      <c r="O41" s="188" t="s">
        <v>28</v>
      </c>
      <c r="P41" s="191" t="s">
        <v>29</v>
      </c>
      <c r="Q41" s="188" t="s">
        <v>30</v>
      </c>
      <c r="R41" s="188" t="s">
        <v>31</v>
      </c>
      <c r="S41" s="181" t="s">
        <v>16</v>
      </c>
      <c r="T41" s="178" t="s">
        <v>32</v>
      </c>
      <c r="U41" s="178" t="s">
        <v>33</v>
      </c>
      <c r="V41" s="181" t="s">
        <v>34</v>
      </c>
      <c r="W41" s="181" t="s">
        <v>0</v>
      </c>
      <c r="X41" s="181" t="s">
        <v>35</v>
      </c>
      <c r="Y41" s="181" t="s">
        <v>36</v>
      </c>
      <c r="Z41" s="181" t="s">
        <v>37</v>
      </c>
      <c r="AA41" s="181" t="s">
        <v>38</v>
      </c>
      <c r="AB41" s="181" t="s">
        <v>39</v>
      </c>
      <c r="AC41" s="181" t="s">
        <v>126</v>
      </c>
      <c r="AD41" s="181" t="s">
        <v>41</v>
      </c>
      <c r="AE41" s="181" t="s">
        <v>42</v>
      </c>
      <c r="AF41" s="181" t="s">
        <v>43</v>
      </c>
      <c r="AG41" s="181" t="s">
        <v>44</v>
      </c>
      <c r="AH41" s="188" t="s">
        <v>20</v>
      </c>
      <c r="AI41" s="184" t="s">
        <v>45</v>
      </c>
    </row>
    <row r="42" spans="1:42" ht="17.5" hidden="1" customHeight="1" x14ac:dyDescent="0.3">
      <c r="A42" s="185"/>
      <c r="B42" s="185"/>
      <c r="C42" s="185"/>
      <c r="D42" s="185"/>
      <c r="E42" s="249"/>
      <c r="F42" s="189"/>
      <c r="G42" s="189"/>
      <c r="H42" s="189"/>
      <c r="I42" s="189"/>
      <c r="J42" s="189"/>
      <c r="K42" s="189"/>
      <c r="L42" s="192"/>
      <c r="M42" s="189"/>
      <c r="N42" s="195"/>
      <c r="O42" s="189"/>
      <c r="P42" s="189"/>
      <c r="Q42" s="189"/>
      <c r="R42" s="189"/>
      <c r="S42" s="199"/>
      <c r="T42" s="179"/>
      <c r="U42" s="179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9"/>
      <c r="AI42" s="185"/>
    </row>
    <row r="43" spans="1:42" ht="17.5" hidden="1" customHeight="1" x14ac:dyDescent="0.3">
      <c r="A43" s="185"/>
      <c r="B43" s="186"/>
      <c r="C43" s="186"/>
      <c r="D43" s="186"/>
      <c r="E43" s="250"/>
      <c r="F43" s="190"/>
      <c r="G43" s="190"/>
      <c r="H43" s="190"/>
      <c r="I43" s="190"/>
      <c r="J43" s="190"/>
      <c r="K43" s="190"/>
      <c r="L43" s="193"/>
      <c r="M43" s="190"/>
      <c r="N43" s="196"/>
      <c r="O43" s="190"/>
      <c r="P43" s="190"/>
      <c r="Q43" s="190"/>
      <c r="R43" s="190"/>
      <c r="S43" s="200"/>
      <c r="T43" s="180"/>
      <c r="U43" s="180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90"/>
      <c r="AI43" s="186"/>
    </row>
    <row r="44" spans="1:42" ht="17.5" hidden="1" customHeight="1" x14ac:dyDescent="0.3">
      <c r="A44" s="19"/>
      <c r="B44" s="20" t="s">
        <v>131</v>
      </c>
      <c r="C44" s="20" t="s">
        <v>132</v>
      </c>
      <c r="D44" s="20" t="s">
        <v>52</v>
      </c>
      <c r="E44" s="245"/>
      <c r="F44" s="35" t="str">
        <f t="shared" ref="F44:F69" si="12">IF(E44*L44= 0,"",E44*L44)</f>
        <v/>
      </c>
      <c r="G44" s="35" t="str">
        <f t="shared" ref="G44:G69" si="13">IF(E44*L44= 0,"",E44*L44)</f>
        <v/>
      </c>
      <c r="H44" s="35"/>
      <c r="I44" s="154">
        <f t="shared" ref="I44:I69" si="14">H44*A44</f>
        <v>0</v>
      </c>
      <c r="J44" s="35"/>
      <c r="K44" s="35"/>
      <c r="L44" s="36"/>
      <c r="M44" s="154">
        <f t="shared" ref="M44:M69" si="15">L44*E44</f>
        <v>0</v>
      </c>
      <c r="N44" s="155">
        <f t="shared" ref="N44:N50" si="16">IF(AND(AG44 &lt;&gt; "", SUM(V44:AF44) &lt;= AG44), SUM(V44:AF44), AG44)</f>
        <v>0</v>
      </c>
      <c r="O44" s="154" t="str">
        <f t="shared" ref="O44:O68" si="17">IF(OR(E44 ="",L44=""),"",E44*N44*Q44)</f>
        <v/>
      </c>
      <c r="P44" s="154" t="str">
        <f>IF(AND(AND(E44&lt;&gt;"",E44&gt;0), AND(L44&lt;&gt;"",L44&gt;0)),((M44/E44)-(O44/E44)),"")</f>
        <v/>
      </c>
      <c r="Q44" s="22">
        <v>426.25</v>
      </c>
      <c r="R44" s="22" t="str">
        <f>IF(AND(AND(E44&lt;&gt;"",E44&gt;0),AND(L44&lt;&gt;"",L44&gt;0)), E44*P44,"")</f>
        <v/>
      </c>
      <c r="S44" s="23">
        <v>4</v>
      </c>
      <c r="T44" s="24">
        <f t="shared" ref="T44:T68" si="18">S44*43.56</f>
        <v>174.24</v>
      </c>
      <c r="U44" s="24" t="str">
        <f>IF(AND(TRIM(T44)&lt;&gt;"",TRIM(E44)&lt;&gt;""),(E44*319.999849189052)/T44,"")</f>
        <v/>
      </c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>
        <v>1</v>
      </c>
      <c r="AH44" s="22"/>
      <c r="AI44" s="20" t="s">
        <v>133</v>
      </c>
    </row>
    <row r="45" spans="1:42" ht="17.5" hidden="1" customHeight="1" x14ac:dyDescent="0.3">
      <c r="A45" s="19"/>
      <c r="B45" s="20" t="s">
        <v>134</v>
      </c>
      <c r="C45" s="20" t="s">
        <v>135</v>
      </c>
      <c r="D45" s="20" t="s">
        <v>97</v>
      </c>
      <c r="E45" s="245"/>
      <c r="F45" s="35" t="str">
        <f t="shared" si="12"/>
        <v/>
      </c>
      <c r="G45" s="35" t="str">
        <f t="shared" si="13"/>
        <v/>
      </c>
      <c r="H45" s="35"/>
      <c r="I45" s="154">
        <f t="shared" si="14"/>
        <v>0</v>
      </c>
      <c r="J45" s="35"/>
      <c r="K45" s="35"/>
      <c r="L45" s="36"/>
      <c r="M45" s="154">
        <f t="shared" si="15"/>
        <v>0</v>
      </c>
      <c r="N45" s="155">
        <f>IF(AND(AG45 &lt;&gt; "", SUM(V45:AF45) &lt;= AG45), SUM(V45:AF45), AG45)</f>
        <v>0</v>
      </c>
      <c r="O45" s="154" t="str">
        <f t="shared" si="17"/>
        <v/>
      </c>
      <c r="P45" s="154" t="str">
        <f>IF(AND(AND(E45&lt;&gt;"",E45&gt;0), AND(L45&lt;&gt;"",L45&gt;0)),((M45/E45)-(O45/E45)),"")</f>
        <v/>
      </c>
      <c r="Q45" s="22">
        <v>578.92999999999995</v>
      </c>
      <c r="R45" s="22" t="str">
        <f>IF(AND(AND(E45&lt;&gt;"",E45&gt;0),AND(L45&lt;&gt;"",L45&gt;0)), E45*P45,"")</f>
        <v/>
      </c>
      <c r="S45" s="23">
        <v>0.5</v>
      </c>
      <c r="T45" s="24">
        <f t="shared" si="18"/>
        <v>21.78</v>
      </c>
      <c r="U45" s="24" t="str">
        <f>IF(AND(TRIM(T45)&lt;&gt;"",TRIM(E45)&lt;&gt;""),(E45*127.999939675621)/T45,"")</f>
        <v/>
      </c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>
        <v>1</v>
      </c>
      <c r="AH45" s="22"/>
      <c r="AI45" s="20" t="s">
        <v>136</v>
      </c>
    </row>
    <row r="46" spans="1:42" ht="17.5" hidden="1" customHeight="1" x14ac:dyDescent="0.3">
      <c r="A46" s="19"/>
      <c r="B46" s="20" t="s">
        <v>137</v>
      </c>
      <c r="C46" s="20" t="s">
        <v>135</v>
      </c>
      <c r="D46" s="20" t="s">
        <v>138</v>
      </c>
      <c r="E46" s="245"/>
      <c r="F46" s="35" t="str">
        <f t="shared" si="12"/>
        <v/>
      </c>
      <c r="G46" s="35" t="str">
        <f t="shared" si="13"/>
        <v/>
      </c>
      <c r="H46" s="35"/>
      <c r="I46" s="154">
        <f t="shared" si="14"/>
        <v>0</v>
      </c>
      <c r="J46" s="35"/>
      <c r="K46" s="35"/>
      <c r="L46" s="36"/>
      <c r="M46" s="154">
        <f t="shared" si="15"/>
        <v>0</v>
      </c>
      <c r="N46" s="155">
        <f t="shared" si="16"/>
        <v>0</v>
      </c>
      <c r="O46" s="154" t="str">
        <f t="shared" si="17"/>
        <v/>
      </c>
      <c r="P46" s="154" t="str">
        <f>IF(AND(AND(E46&lt;&gt;"",E46&gt;0), AND(L46&lt;&gt;"",L46&gt;0)),((M46/E46)-(O46/E46)),"")</f>
        <v/>
      </c>
      <c r="Q46" s="22">
        <f>L46</f>
        <v>0</v>
      </c>
      <c r="R46" s="22" t="str">
        <f>IF(AND(AND(E46&lt;&gt;"",E46&gt;0),AND(L46&lt;&gt;"",L46&gt;0)), E46*P46,"")</f>
        <v/>
      </c>
      <c r="S46" s="23">
        <v>0.5</v>
      </c>
      <c r="T46" s="24">
        <f t="shared" si="18"/>
        <v>21.78</v>
      </c>
      <c r="U46" s="24" t="str">
        <f>IF(AND(TRIM(T46)&lt;&gt;"",TRIM(E46)&lt;&gt;""),(E46*15.9999999999797)/T46,"")</f>
        <v/>
      </c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>
        <v>1</v>
      </c>
      <c r="AH46" s="22"/>
      <c r="AI46" s="20"/>
    </row>
    <row r="47" spans="1:42" ht="17.5" hidden="1" customHeight="1" x14ac:dyDescent="0.3">
      <c r="A47" s="19"/>
      <c r="B47" s="20" t="s">
        <v>140</v>
      </c>
      <c r="C47" s="20" t="s">
        <v>141</v>
      </c>
      <c r="D47" s="20" t="s">
        <v>142</v>
      </c>
      <c r="E47" s="245"/>
      <c r="F47" s="35" t="str">
        <f t="shared" si="12"/>
        <v/>
      </c>
      <c r="G47" s="35" t="str">
        <f t="shared" si="13"/>
        <v/>
      </c>
      <c r="H47" s="35"/>
      <c r="I47" s="154">
        <f t="shared" si="14"/>
        <v>0</v>
      </c>
      <c r="J47" s="35"/>
      <c r="K47" s="35"/>
      <c r="L47" s="36"/>
      <c r="M47" s="154">
        <f t="shared" si="15"/>
        <v>0</v>
      </c>
      <c r="N47" s="155">
        <f t="shared" si="16"/>
        <v>0</v>
      </c>
      <c r="O47" s="154" t="str">
        <f t="shared" si="17"/>
        <v/>
      </c>
      <c r="P47" s="154" t="str">
        <f>IF(AND(AND(E47&lt;&gt;"",E47&gt;0), AND(L47&lt;&gt;"",L47&gt;0)),((M47/E47)-(O47/E47)),"")</f>
        <v/>
      </c>
      <c r="Q47" s="22">
        <v>102.3</v>
      </c>
      <c r="R47" s="22" t="str">
        <f>IF(AND(AND(E47&lt;&gt;"",E47&gt;0),AND(L47&lt;&gt;"",L47&gt;0)), E47*P47,"")</f>
        <v/>
      </c>
      <c r="S47" s="23">
        <v>1.2</v>
      </c>
      <c r="T47" s="24">
        <f t="shared" si="18"/>
        <v>52.271999999999998</v>
      </c>
      <c r="U47" s="24" t="str">
        <f>IF(AND(TRIM(T47)&lt;&gt;"",TRIM(E47)&lt;&gt;""),(E47*31.9999999550214)/T47,"")</f>
        <v/>
      </c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>
        <v>1</v>
      </c>
      <c r="AH47" s="22"/>
      <c r="AI47" s="20" t="s">
        <v>143</v>
      </c>
    </row>
    <row r="48" spans="1:42" ht="17.5" hidden="1" customHeight="1" x14ac:dyDescent="0.3">
      <c r="A48" s="19"/>
      <c r="B48" s="20" t="s">
        <v>144</v>
      </c>
      <c r="C48" s="20" t="s">
        <v>145</v>
      </c>
      <c r="D48" s="20" t="s">
        <v>52</v>
      </c>
      <c r="E48" s="245"/>
      <c r="F48" s="35" t="str">
        <f t="shared" si="12"/>
        <v/>
      </c>
      <c r="G48" s="35" t="str">
        <f t="shared" si="13"/>
        <v/>
      </c>
      <c r="H48" s="35"/>
      <c r="I48" s="154">
        <f t="shared" si="14"/>
        <v>0</v>
      </c>
      <c r="J48" s="35"/>
      <c r="K48" s="35"/>
      <c r="L48" s="36"/>
      <c r="M48" s="154">
        <f t="shared" si="15"/>
        <v>0</v>
      </c>
      <c r="N48" s="155">
        <f t="shared" si="16"/>
        <v>0</v>
      </c>
      <c r="O48" s="154" t="str">
        <f t="shared" si="17"/>
        <v/>
      </c>
      <c r="P48" s="154" t="str">
        <f>IF(AND(AND(E48&lt;&gt;"",E48&gt;0), AND(L48&lt;&gt;"",L48&gt;0)),((M48/E48)-(O48/E48)),"")</f>
        <v/>
      </c>
      <c r="Q48" s="22">
        <v>0</v>
      </c>
      <c r="R48" s="22" t="str">
        <f>IF(AND(AND(E48&lt;&gt;"",E48&gt;0),AND(L48&lt;&gt;"",L48&gt;0)), E48*P48,"")</f>
        <v/>
      </c>
      <c r="S48" s="23">
        <v>4</v>
      </c>
      <c r="T48" s="24">
        <f t="shared" si="18"/>
        <v>174.24</v>
      </c>
      <c r="U48" s="24" t="str">
        <f>IF(AND(TRIM(T48)&lt;&gt;"",TRIM(E48)&lt;&gt;""),(E48*319.999849189052)/T48,"")</f>
        <v/>
      </c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>
        <v>1</v>
      </c>
      <c r="AH48" s="22"/>
      <c r="AI48" s="20"/>
    </row>
    <row r="49" spans="1:35" ht="17.5" hidden="1" customHeight="1" x14ac:dyDescent="0.3">
      <c r="A49" s="19"/>
      <c r="B49" s="20" t="s">
        <v>146</v>
      </c>
      <c r="C49" s="20" t="s">
        <v>147</v>
      </c>
      <c r="D49" s="20" t="s">
        <v>113</v>
      </c>
      <c r="E49" s="245"/>
      <c r="F49" s="35" t="str">
        <f t="shared" si="12"/>
        <v/>
      </c>
      <c r="G49" s="35" t="str">
        <f t="shared" si="13"/>
        <v/>
      </c>
      <c r="H49" s="35"/>
      <c r="I49" s="154">
        <f t="shared" si="14"/>
        <v>0</v>
      </c>
      <c r="J49" s="35"/>
      <c r="K49" s="35"/>
      <c r="L49" s="36"/>
      <c r="M49" s="154">
        <f t="shared" si="15"/>
        <v>0</v>
      </c>
      <c r="N49" s="155">
        <f t="shared" si="16"/>
        <v>0</v>
      </c>
      <c r="O49" s="154" t="str">
        <f t="shared" si="17"/>
        <v/>
      </c>
      <c r="P49" s="154"/>
      <c r="Q49" s="22">
        <v>207.9</v>
      </c>
      <c r="R49" s="22"/>
      <c r="S49" s="23"/>
      <c r="T49" s="24">
        <f t="shared" si="18"/>
        <v>0</v>
      </c>
      <c r="U49" s="24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>
        <v>1</v>
      </c>
      <c r="AH49" s="22"/>
      <c r="AI49" s="20"/>
    </row>
    <row r="50" spans="1:35" ht="17.5" hidden="1" customHeight="1" x14ac:dyDescent="0.3">
      <c r="A50" s="19"/>
      <c r="B50" s="20" t="s">
        <v>148</v>
      </c>
      <c r="C50" s="20" t="s">
        <v>149</v>
      </c>
      <c r="D50" s="20" t="s">
        <v>52</v>
      </c>
      <c r="E50" s="245"/>
      <c r="F50" s="35" t="str">
        <f t="shared" si="12"/>
        <v/>
      </c>
      <c r="G50" s="35" t="str">
        <f t="shared" si="13"/>
        <v/>
      </c>
      <c r="H50" s="35"/>
      <c r="I50" s="154">
        <f t="shared" si="14"/>
        <v>0</v>
      </c>
      <c r="J50" s="35"/>
      <c r="K50" s="35"/>
      <c r="L50" s="36"/>
      <c r="M50" s="154">
        <f t="shared" si="15"/>
        <v>0</v>
      </c>
      <c r="N50" s="155">
        <f t="shared" si="16"/>
        <v>0</v>
      </c>
      <c r="O50" s="154" t="str">
        <f t="shared" si="17"/>
        <v/>
      </c>
      <c r="P50" s="154" t="str">
        <f t="shared" ref="P50:P68" si="19">IF(AND(AND(E50&lt;&gt;"",E50&gt;0), AND(L50&lt;&gt;"",L50&gt;0)),((M50/E50)-(O50/E50)),"")</f>
        <v/>
      </c>
      <c r="Q50" s="22">
        <f>L50</f>
        <v>0</v>
      </c>
      <c r="R50" s="22" t="str">
        <f t="shared" ref="R50:R68" si="20">IF(AND(AND(E50&lt;&gt;"",E50&gt;0),AND(L50&lt;&gt;"",L50&gt;0)), E50*P50,"")</f>
        <v/>
      </c>
      <c r="S50" s="23">
        <v>3</v>
      </c>
      <c r="T50" s="24">
        <f t="shared" si="18"/>
        <v>130.68</v>
      </c>
      <c r="U50" s="24" t="str">
        <f>IF(AND(TRIM(T50)&lt;&gt;"",TRIM(E50)&lt;&gt;""),(E50*319.999849189052)/T50,"")</f>
        <v/>
      </c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>
        <v>1</v>
      </c>
      <c r="AH50" s="22"/>
      <c r="AI50" s="20"/>
    </row>
    <row r="51" spans="1:35" ht="17.5" hidden="1" customHeight="1" x14ac:dyDescent="0.3">
      <c r="A51" s="19"/>
      <c r="B51" s="20" t="s">
        <v>150</v>
      </c>
      <c r="C51" s="20" t="s">
        <v>151</v>
      </c>
      <c r="D51" s="20" t="s">
        <v>152</v>
      </c>
      <c r="E51" s="245"/>
      <c r="F51" s="35" t="str">
        <f t="shared" si="12"/>
        <v/>
      </c>
      <c r="G51" s="35" t="str">
        <f t="shared" si="13"/>
        <v/>
      </c>
      <c r="H51" s="35"/>
      <c r="I51" s="154">
        <f t="shared" si="14"/>
        <v>0</v>
      </c>
      <c r="J51" s="35"/>
      <c r="K51" s="35"/>
      <c r="L51" s="36"/>
      <c r="M51" s="154">
        <f t="shared" si="15"/>
        <v>0</v>
      </c>
      <c r="N51" s="155">
        <f t="shared" ref="N51:N69" si="21">IF(AND(AG51 &lt;&gt; "", SUM(V51:AF51) &lt;= AG51), SUM(V51:AF51), AG51)</f>
        <v>0</v>
      </c>
      <c r="O51" s="154" t="str">
        <f t="shared" si="17"/>
        <v/>
      </c>
      <c r="P51" s="154" t="str">
        <f t="shared" si="19"/>
        <v/>
      </c>
      <c r="Q51" s="22">
        <v>413.92</v>
      </c>
      <c r="R51" s="22" t="str">
        <f t="shared" si="20"/>
        <v/>
      </c>
      <c r="S51" s="23">
        <v>0.25</v>
      </c>
      <c r="T51" s="24">
        <f t="shared" si="18"/>
        <v>10.89</v>
      </c>
      <c r="U51" s="24" t="str">
        <f>IF(AND(TRIM(T51)&lt;&gt;"",TRIM(E51)&lt;&gt;""),(E51*15.9999999775107)/T51,"")</f>
        <v/>
      </c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>
        <v>1</v>
      </c>
      <c r="AH51" s="22"/>
      <c r="AI51" s="20" t="s">
        <v>153</v>
      </c>
    </row>
    <row r="52" spans="1:35" ht="23.5" hidden="1" customHeight="1" x14ac:dyDescent="0.3">
      <c r="A52" s="19"/>
      <c r="B52" s="20" t="s">
        <v>154</v>
      </c>
      <c r="C52" s="20" t="s">
        <v>155</v>
      </c>
      <c r="D52" s="20" t="s">
        <v>156</v>
      </c>
      <c r="E52" s="245"/>
      <c r="F52" s="35" t="str">
        <f t="shared" si="12"/>
        <v/>
      </c>
      <c r="G52" s="35" t="str">
        <f t="shared" si="13"/>
        <v/>
      </c>
      <c r="H52" s="35"/>
      <c r="I52" s="154">
        <f t="shared" si="14"/>
        <v>0</v>
      </c>
      <c r="J52" s="35"/>
      <c r="K52" s="35"/>
      <c r="L52" s="36"/>
      <c r="M52" s="154">
        <f t="shared" si="15"/>
        <v>0</v>
      </c>
      <c r="N52" s="155">
        <f t="shared" si="21"/>
        <v>0</v>
      </c>
      <c r="O52" s="154" t="str">
        <f t="shared" si="17"/>
        <v/>
      </c>
      <c r="P52" s="154" t="str">
        <f t="shared" si="19"/>
        <v/>
      </c>
      <c r="Q52" s="22">
        <f>L52</f>
        <v>0</v>
      </c>
      <c r="R52" s="22" t="str">
        <f t="shared" si="20"/>
        <v/>
      </c>
      <c r="S52" s="23"/>
      <c r="T52" s="24">
        <f t="shared" si="18"/>
        <v>0</v>
      </c>
      <c r="U52" s="24" t="str">
        <f>IF(AND(TRIM(T52)&lt;&gt;"",TRIM(E52)&lt;&gt;""),(E52*0)/T52,"")</f>
        <v/>
      </c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>
        <v>1</v>
      </c>
      <c r="AH52" s="22"/>
      <c r="AI52" s="20"/>
    </row>
    <row r="53" spans="1:35" ht="17.5" hidden="1" customHeight="1" x14ac:dyDescent="0.3">
      <c r="A53" s="19"/>
      <c r="B53" s="20" t="s">
        <v>157</v>
      </c>
      <c r="C53" s="20" t="s">
        <v>158</v>
      </c>
      <c r="D53" s="20" t="s">
        <v>52</v>
      </c>
      <c r="E53" s="245"/>
      <c r="F53" s="35" t="str">
        <f t="shared" si="12"/>
        <v/>
      </c>
      <c r="G53" s="35" t="str">
        <f t="shared" si="13"/>
        <v/>
      </c>
      <c r="H53" s="35"/>
      <c r="I53" s="154">
        <f t="shared" si="14"/>
        <v>0</v>
      </c>
      <c r="J53" s="35"/>
      <c r="K53" s="35"/>
      <c r="L53" s="36"/>
      <c r="M53" s="154">
        <f t="shared" si="15"/>
        <v>0</v>
      </c>
      <c r="N53" s="155">
        <f t="shared" si="21"/>
        <v>0</v>
      </c>
      <c r="O53" s="154" t="str">
        <f t="shared" si="17"/>
        <v/>
      </c>
      <c r="P53" s="154" t="str">
        <f t="shared" si="19"/>
        <v/>
      </c>
      <c r="Q53" s="22">
        <v>192.5</v>
      </c>
      <c r="R53" s="22" t="str">
        <f t="shared" si="20"/>
        <v/>
      </c>
      <c r="S53" s="23">
        <v>5.75</v>
      </c>
      <c r="T53" s="24">
        <f t="shared" si="18"/>
        <v>250.47000000000003</v>
      </c>
      <c r="U53" s="24" t="str">
        <f>IF(AND(TRIM(T53)&lt;&gt;"",TRIM(E53)&lt;&gt;""),(E53*319.999849189052)/T53,"")</f>
        <v/>
      </c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>
        <v>1</v>
      </c>
      <c r="AH53" s="22"/>
      <c r="AI53" s="20"/>
    </row>
    <row r="54" spans="1:35" ht="17.5" hidden="1" customHeight="1" x14ac:dyDescent="0.3">
      <c r="A54" s="19"/>
      <c r="B54" s="20" t="s">
        <v>160</v>
      </c>
      <c r="C54" s="20" t="s">
        <v>161</v>
      </c>
      <c r="D54" s="20" t="s">
        <v>162</v>
      </c>
      <c r="E54" s="245"/>
      <c r="F54" s="35" t="str">
        <f t="shared" si="12"/>
        <v/>
      </c>
      <c r="G54" s="35" t="str">
        <f t="shared" si="13"/>
        <v/>
      </c>
      <c r="H54" s="35"/>
      <c r="I54" s="154">
        <f t="shared" si="14"/>
        <v>0</v>
      </c>
      <c r="J54" s="35"/>
      <c r="K54" s="35"/>
      <c r="L54" s="36"/>
      <c r="M54" s="154">
        <f t="shared" si="15"/>
        <v>0</v>
      </c>
      <c r="N54" s="155">
        <f t="shared" si="21"/>
        <v>0</v>
      </c>
      <c r="O54" s="154" t="str">
        <f t="shared" si="17"/>
        <v/>
      </c>
      <c r="P54" s="154" t="str">
        <f t="shared" si="19"/>
        <v/>
      </c>
      <c r="Q54" s="22">
        <f>L54</f>
        <v>0</v>
      </c>
      <c r="R54" s="22" t="str">
        <f t="shared" si="20"/>
        <v/>
      </c>
      <c r="S54" s="23">
        <v>3</v>
      </c>
      <c r="T54" s="24">
        <f t="shared" si="18"/>
        <v>130.68</v>
      </c>
      <c r="U54" s="24" t="str">
        <f>IF(AND(TRIM(T54)&lt;&gt;"",TRIM(E54)&lt;&gt;""),(E54*30)/T54,"")</f>
        <v/>
      </c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>
        <v>1</v>
      </c>
      <c r="AH54" s="22"/>
      <c r="AI54" s="20"/>
    </row>
    <row r="55" spans="1:35" ht="17.5" hidden="1" customHeight="1" x14ac:dyDescent="0.3">
      <c r="A55" s="19"/>
      <c r="B55" s="20" t="s">
        <v>163</v>
      </c>
      <c r="C55" s="20" t="s">
        <v>164</v>
      </c>
      <c r="D55" s="20" t="s">
        <v>165</v>
      </c>
      <c r="E55" s="245"/>
      <c r="F55" s="35" t="str">
        <f t="shared" si="12"/>
        <v/>
      </c>
      <c r="G55" s="35" t="str">
        <f t="shared" si="13"/>
        <v/>
      </c>
      <c r="H55" s="35"/>
      <c r="I55" s="154">
        <f t="shared" si="14"/>
        <v>0</v>
      </c>
      <c r="J55" s="35"/>
      <c r="K55" s="35"/>
      <c r="L55" s="36"/>
      <c r="M55" s="154">
        <f t="shared" si="15"/>
        <v>0</v>
      </c>
      <c r="N55" s="155">
        <f t="shared" si="21"/>
        <v>0</v>
      </c>
      <c r="O55" s="154" t="str">
        <f t="shared" si="17"/>
        <v/>
      </c>
      <c r="P55" s="154" t="str">
        <f t="shared" si="19"/>
        <v/>
      </c>
      <c r="Q55" s="22">
        <v>193.5</v>
      </c>
      <c r="R55" s="22" t="str">
        <f t="shared" si="20"/>
        <v/>
      </c>
      <c r="S55" s="23">
        <v>3</v>
      </c>
      <c r="T55" s="24">
        <f t="shared" si="18"/>
        <v>130.68</v>
      </c>
      <c r="U55" s="24" t="str">
        <f>IF(AND(TRIM(T55)&lt;&gt;"",TRIM(E55)&lt;&gt;""),(E55*8)/T55,"")</f>
        <v/>
      </c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>
        <v>1</v>
      </c>
      <c r="AH55" s="22"/>
      <c r="AI55" s="20"/>
    </row>
    <row r="56" spans="1:35" ht="17.5" hidden="1" customHeight="1" x14ac:dyDescent="0.3">
      <c r="A56" s="19"/>
      <c r="B56" s="20" t="s">
        <v>166</v>
      </c>
      <c r="C56" s="20" t="s">
        <v>167</v>
      </c>
      <c r="D56" s="20" t="s">
        <v>162</v>
      </c>
      <c r="E56" s="245"/>
      <c r="F56" s="35" t="str">
        <f t="shared" si="12"/>
        <v/>
      </c>
      <c r="G56" s="35" t="str">
        <f t="shared" si="13"/>
        <v/>
      </c>
      <c r="H56" s="35"/>
      <c r="I56" s="154">
        <f t="shared" si="14"/>
        <v>0</v>
      </c>
      <c r="J56" s="35"/>
      <c r="K56" s="35"/>
      <c r="L56" s="36"/>
      <c r="M56" s="154">
        <f t="shared" si="15"/>
        <v>0</v>
      </c>
      <c r="N56" s="155">
        <f t="shared" si="21"/>
        <v>0</v>
      </c>
      <c r="O56" s="154" t="str">
        <f t="shared" si="17"/>
        <v/>
      </c>
      <c r="P56" s="154" t="str">
        <f t="shared" si="19"/>
        <v/>
      </c>
      <c r="Q56" s="22">
        <f>L56</f>
        <v>0</v>
      </c>
      <c r="R56" s="22" t="str">
        <f t="shared" si="20"/>
        <v/>
      </c>
      <c r="S56" s="23">
        <v>1.4</v>
      </c>
      <c r="T56" s="24">
        <f t="shared" si="18"/>
        <v>60.984000000000002</v>
      </c>
      <c r="U56" s="24" t="str">
        <f>IF(AND(TRIM(T56)&lt;&gt;"",TRIM(E56)&lt;&gt;""),(E56*30)/T56,"")</f>
        <v/>
      </c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>
        <v>1</v>
      </c>
      <c r="AH56" s="22"/>
      <c r="AI56" s="20"/>
    </row>
    <row r="57" spans="1:35" ht="17.5" hidden="1" customHeight="1" x14ac:dyDescent="0.3">
      <c r="A57" s="19"/>
      <c r="B57" s="20" t="s">
        <v>168</v>
      </c>
      <c r="C57" s="20" t="s">
        <v>169</v>
      </c>
      <c r="D57" s="20" t="s">
        <v>97</v>
      </c>
      <c r="E57" s="245"/>
      <c r="F57" s="35" t="str">
        <f t="shared" si="12"/>
        <v/>
      </c>
      <c r="G57" s="35" t="str">
        <f t="shared" si="13"/>
        <v/>
      </c>
      <c r="H57" s="35"/>
      <c r="I57" s="154">
        <f t="shared" si="14"/>
        <v>0</v>
      </c>
      <c r="J57" s="35"/>
      <c r="K57" s="35"/>
      <c r="L57" s="36"/>
      <c r="M57" s="154">
        <f t="shared" si="15"/>
        <v>0</v>
      </c>
      <c r="N57" s="155">
        <f t="shared" si="21"/>
        <v>0</v>
      </c>
      <c r="O57" s="154" t="str">
        <f t="shared" si="17"/>
        <v/>
      </c>
      <c r="P57" s="154" t="str">
        <f t="shared" si="19"/>
        <v/>
      </c>
      <c r="Q57" s="22">
        <f>L57</f>
        <v>0</v>
      </c>
      <c r="R57" s="22" t="str">
        <f t="shared" si="20"/>
        <v/>
      </c>
      <c r="S57" s="23">
        <v>0.53</v>
      </c>
      <c r="T57" s="24">
        <f t="shared" si="18"/>
        <v>23.086800000000004</v>
      </c>
      <c r="U57" s="24" t="str">
        <f>IF(AND(TRIM(T57)&lt;&gt;"",TRIM(E57)&lt;&gt;""),(E57*127.999939675621)/T57,"")</f>
        <v/>
      </c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>
        <v>1</v>
      </c>
      <c r="AH57" s="22"/>
      <c r="AI57" s="20"/>
    </row>
    <row r="58" spans="1:35" ht="17.5" hidden="1" customHeight="1" x14ac:dyDescent="0.3">
      <c r="A58" s="19"/>
      <c r="B58" s="20" t="s">
        <v>170</v>
      </c>
      <c r="C58" s="20" t="s">
        <v>171</v>
      </c>
      <c r="D58" s="20" t="s">
        <v>172</v>
      </c>
      <c r="E58" s="245"/>
      <c r="F58" s="35" t="str">
        <f t="shared" si="12"/>
        <v/>
      </c>
      <c r="G58" s="35" t="str">
        <f t="shared" si="13"/>
        <v/>
      </c>
      <c r="H58" s="35"/>
      <c r="I58" s="154">
        <f t="shared" si="14"/>
        <v>0</v>
      </c>
      <c r="J58" s="35"/>
      <c r="K58" s="35"/>
      <c r="L58" s="36"/>
      <c r="M58" s="154">
        <f t="shared" si="15"/>
        <v>0</v>
      </c>
      <c r="N58" s="155">
        <f t="shared" si="21"/>
        <v>0</v>
      </c>
      <c r="O58" s="154" t="str">
        <f t="shared" si="17"/>
        <v/>
      </c>
      <c r="P58" s="154" t="str">
        <f t="shared" si="19"/>
        <v/>
      </c>
      <c r="Q58" s="22">
        <f>L58</f>
        <v>0</v>
      </c>
      <c r="R58" s="22" t="str">
        <f t="shared" si="20"/>
        <v/>
      </c>
      <c r="S58" s="23">
        <v>0.17199999999999999</v>
      </c>
      <c r="T58" s="24">
        <f t="shared" si="18"/>
        <v>7.4923199999999994</v>
      </c>
      <c r="U58" s="24" t="str">
        <f>IF(AND(TRIM(T58)&lt;&gt;"",TRIM(E58)&lt;&gt;""),(E58*6.4)/T58,"")</f>
        <v/>
      </c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>
        <v>1</v>
      </c>
      <c r="AH58" s="22"/>
      <c r="AI58" s="20"/>
    </row>
    <row r="59" spans="1:35" ht="20.5" hidden="1" customHeight="1" x14ac:dyDescent="0.3">
      <c r="A59" s="19"/>
      <c r="B59" s="20" t="s">
        <v>173</v>
      </c>
      <c r="C59" s="20" t="s">
        <v>174</v>
      </c>
      <c r="D59" s="20" t="s">
        <v>52</v>
      </c>
      <c r="E59" s="245"/>
      <c r="F59" s="35" t="str">
        <f t="shared" si="12"/>
        <v/>
      </c>
      <c r="G59" s="35" t="str">
        <f t="shared" si="13"/>
        <v/>
      </c>
      <c r="H59" s="35"/>
      <c r="I59" s="154">
        <f t="shared" si="14"/>
        <v>0</v>
      </c>
      <c r="J59" s="35"/>
      <c r="K59" s="35"/>
      <c r="L59" s="36"/>
      <c r="M59" s="154">
        <f t="shared" si="15"/>
        <v>0</v>
      </c>
      <c r="N59" s="155">
        <f t="shared" si="21"/>
        <v>0</v>
      </c>
      <c r="O59" s="154" t="str">
        <f t="shared" si="17"/>
        <v/>
      </c>
      <c r="P59" s="154" t="str">
        <f t="shared" si="19"/>
        <v/>
      </c>
      <c r="Q59" s="22">
        <v>386.24</v>
      </c>
      <c r="R59" s="22" t="str">
        <f t="shared" si="20"/>
        <v/>
      </c>
      <c r="S59" s="23">
        <v>1.5</v>
      </c>
      <c r="T59" s="24">
        <f t="shared" si="18"/>
        <v>65.34</v>
      </c>
      <c r="U59" s="24" t="str">
        <f>IF(AND(TRIM(T59)&lt;&gt;"",TRIM(E59)&lt;&gt;""),(E59*319.999849189052)/T59,"")</f>
        <v/>
      </c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>
        <v>1</v>
      </c>
      <c r="AH59" s="22"/>
      <c r="AI59" s="20"/>
    </row>
    <row r="60" spans="1:35" ht="17.5" hidden="1" customHeight="1" x14ac:dyDescent="0.3">
      <c r="A60" s="19"/>
      <c r="B60" s="20" t="s">
        <v>175</v>
      </c>
      <c r="C60" s="20" t="s">
        <v>176</v>
      </c>
      <c r="D60" s="20" t="s">
        <v>52</v>
      </c>
      <c r="E60" s="245"/>
      <c r="F60" s="35" t="str">
        <f t="shared" si="12"/>
        <v/>
      </c>
      <c r="G60" s="35" t="str">
        <f t="shared" si="13"/>
        <v/>
      </c>
      <c r="H60" s="35"/>
      <c r="I60" s="154">
        <f t="shared" si="14"/>
        <v>0</v>
      </c>
      <c r="J60" s="35"/>
      <c r="K60" s="35"/>
      <c r="L60" s="36"/>
      <c r="M60" s="154">
        <f t="shared" si="15"/>
        <v>0</v>
      </c>
      <c r="N60" s="155">
        <f t="shared" si="21"/>
        <v>0</v>
      </c>
      <c r="O60" s="154" t="str">
        <f t="shared" si="17"/>
        <v/>
      </c>
      <c r="P60" s="154" t="str">
        <f t="shared" si="19"/>
        <v/>
      </c>
      <c r="Q60" s="22">
        <v>90.2</v>
      </c>
      <c r="R60" s="22" t="str">
        <f t="shared" si="20"/>
        <v/>
      </c>
      <c r="S60" s="23">
        <v>5</v>
      </c>
      <c r="T60" s="24">
        <f t="shared" si="18"/>
        <v>217.8</v>
      </c>
      <c r="U60" s="24" t="str">
        <f>IF(AND(TRIM(T60)&lt;&gt;"",TRIM(E60)&lt;&gt;""),(E60*319.999849189052)/T60,"")</f>
        <v/>
      </c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>
        <v>1</v>
      </c>
      <c r="AH60" s="22"/>
      <c r="AI60" s="20"/>
    </row>
    <row r="61" spans="1:35" ht="17.5" hidden="1" customHeight="1" x14ac:dyDescent="0.3">
      <c r="A61" s="19"/>
      <c r="B61" s="20" t="s">
        <v>177</v>
      </c>
      <c r="C61" s="20" t="s">
        <v>94</v>
      </c>
      <c r="D61" s="20" t="s">
        <v>178</v>
      </c>
      <c r="E61" s="245"/>
      <c r="F61" s="35" t="str">
        <f t="shared" si="12"/>
        <v/>
      </c>
      <c r="G61" s="35" t="str">
        <f t="shared" si="13"/>
        <v/>
      </c>
      <c r="H61" s="35"/>
      <c r="I61" s="154">
        <f t="shared" si="14"/>
        <v>0</v>
      </c>
      <c r="J61" s="35"/>
      <c r="K61" s="35"/>
      <c r="L61" s="36"/>
      <c r="M61" s="154">
        <f t="shared" si="15"/>
        <v>0</v>
      </c>
      <c r="N61" s="155">
        <f t="shared" si="21"/>
        <v>0</v>
      </c>
      <c r="O61" s="154" t="str">
        <f t="shared" si="17"/>
        <v/>
      </c>
      <c r="P61" s="154" t="str">
        <f t="shared" si="19"/>
        <v/>
      </c>
      <c r="Q61" s="22">
        <v>258.22000000000003</v>
      </c>
      <c r="R61" s="22" t="str">
        <f t="shared" si="20"/>
        <v/>
      </c>
      <c r="S61" s="23">
        <v>0.4</v>
      </c>
      <c r="T61" s="24">
        <f t="shared" si="18"/>
        <v>17.424000000000003</v>
      </c>
      <c r="U61" s="24" t="str">
        <f>IF(AND(TRIM(T61)&lt;&gt;"",TRIM(E61)&lt;&gt;""),(E61*32)/T61,"")</f>
        <v/>
      </c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>
        <v>1</v>
      </c>
      <c r="AH61" s="22"/>
      <c r="AI61" s="20"/>
    </row>
    <row r="62" spans="1:35" ht="17.5" hidden="1" customHeight="1" x14ac:dyDescent="0.3">
      <c r="A62" s="19"/>
      <c r="B62" s="20" t="s">
        <v>179</v>
      </c>
      <c r="C62" s="20" t="s">
        <v>180</v>
      </c>
      <c r="D62" s="20" t="s">
        <v>52</v>
      </c>
      <c r="E62" s="245"/>
      <c r="F62" s="35" t="str">
        <f t="shared" si="12"/>
        <v/>
      </c>
      <c r="G62" s="35" t="str">
        <f t="shared" si="13"/>
        <v/>
      </c>
      <c r="H62" s="35"/>
      <c r="I62" s="154">
        <f t="shared" si="14"/>
        <v>0</v>
      </c>
      <c r="J62" s="35"/>
      <c r="K62" s="35"/>
      <c r="L62" s="36"/>
      <c r="M62" s="154">
        <f t="shared" si="15"/>
        <v>0</v>
      </c>
      <c r="N62" s="155">
        <f t="shared" si="21"/>
        <v>0</v>
      </c>
      <c r="O62" s="154" t="str">
        <f t="shared" si="17"/>
        <v/>
      </c>
      <c r="P62" s="154" t="str">
        <f t="shared" si="19"/>
        <v/>
      </c>
      <c r="Q62" s="22">
        <f>L62</f>
        <v>0</v>
      </c>
      <c r="R62" s="22" t="str">
        <f t="shared" si="20"/>
        <v/>
      </c>
      <c r="S62" s="23">
        <v>6</v>
      </c>
      <c r="T62" s="24">
        <f t="shared" si="18"/>
        <v>261.36</v>
      </c>
      <c r="U62" s="24" t="str">
        <f>IF(AND(TRIM(T62)&lt;&gt;"",TRIM(E62)&lt;&gt;""),(E62*319.999849189052)/T62,"")</f>
        <v/>
      </c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>
        <v>1</v>
      </c>
      <c r="AH62" s="22"/>
      <c r="AI62" s="20"/>
    </row>
    <row r="63" spans="1:35" ht="17.5" hidden="1" customHeight="1" x14ac:dyDescent="0.3">
      <c r="A63" s="19"/>
      <c r="B63" s="20" t="s">
        <v>181</v>
      </c>
      <c r="C63" s="20" t="s">
        <v>182</v>
      </c>
      <c r="D63" s="20" t="s">
        <v>183</v>
      </c>
      <c r="E63" s="245"/>
      <c r="F63" s="35" t="str">
        <f t="shared" si="12"/>
        <v/>
      </c>
      <c r="G63" s="35" t="str">
        <f t="shared" si="13"/>
        <v/>
      </c>
      <c r="H63" s="35"/>
      <c r="I63" s="154">
        <f t="shared" si="14"/>
        <v>0</v>
      </c>
      <c r="J63" s="35"/>
      <c r="K63" s="35"/>
      <c r="L63" s="36"/>
      <c r="M63" s="154">
        <f t="shared" si="15"/>
        <v>0</v>
      </c>
      <c r="N63" s="155">
        <f t="shared" si="21"/>
        <v>0</v>
      </c>
      <c r="O63" s="154" t="str">
        <f t="shared" si="17"/>
        <v/>
      </c>
      <c r="P63" s="154" t="str">
        <f t="shared" si="19"/>
        <v/>
      </c>
      <c r="Q63" s="22">
        <f>L63</f>
        <v>0</v>
      </c>
      <c r="R63" s="22" t="str">
        <f t="shared" si="20"/>
        <v/>
      </c>
      <c r="S63" s="23">
        <v>8</v>
      </c>
      <c r="T63" s="24">
        <f t="shared" si="18"/>
        <v>348.48</v>
      </c>
      <c r="U63" s="24" t="str">
        <f>IF(AND(TRIM(T63)&lt;&gt;"",TRIM(E63)&lt;&gt;""),(E63*79.9999998875535)/T63,"")</f>
        <v/>
      </c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>
        <v>1</v>
      </c>
      <c r="AH63" s="22"/>
      <c r="AI63" s="20"/>
    </row>
    <row r="64" spans="1:35" ht="17.5" hidden="1" customHeight="1" x14ac:dyDescent="0.3">
      <c r="A64" s="19"/>
      <c r="B64" s="20" t="s">
        <v>186</v>
      </c>
      <c r="C64" s="20" t="s">
        <v>187</v>
      </c>
      <c r="D64" s="20" t="s">
        <v>188</v>
      </c>
      <c r="E64" s="245"/>
      <c r="F64" s="35" t="str">
        <f t="shared" si="12"/>
        <v/>
      </c>
      <c r="G64" s="35" t="str">
        <f t="shared" si="13"/>
        <v/>
      </c>
      <c r="H64" s="35"/>
      <c r="I64" s="154">
        <f t="shared" si="14"/>
        <v>0</v>
      </c>
      <c r="J64" s="35"/>
      <c r="K64" s="35"/>
      <c r="L64" s="36"/>
      <c r="M64" s="154">
        <f t="shared" si="15"/>
        <v>0</v>
      </c>
      <c r="N64" s="155">
        <f t="shared" si="21"/>
        <v>0</v>
      </c>
      <c r="O64" s="154" t="str">
        <f t="shared" si="17"/>
        <v/>
      </c>
      <c r="P64" s="154" t="str">
        <f t="shared" si="19"/>
        <v/>
      </c>
      <c r="Q64" s="22">
        <v>72.27</v>
      </c>
      <c r="R64" s="22" t="str">
        <f t="shared" si="20"/>
        <v/>
      </c>
      <c r="S64" s="23">
        <v>16</v>
      </c>
      <c r="T64" s="24">
        <f t="shared" si="18"/>
        <v>696.96</v>
      </c>
      <c r="U64" s="24" t="str">
        <f>IF(AND(TRIM(T64)&lt;&gt;"",TRIM(E64)&lt;&gt;""),(E64*144)/T64,"")</f>
        <v/>
      </c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>
        <v>1</v>
      </c>
      <c r="AH64" s="22"/>
      <c r="AI64" s="20"/>
    </row>
    <row r="65" spans="1:35" ht="17.5" hidden="1" customHeight="1" x14ac:dyDescent="0.3">
      <c r="A65" s="19"/>
      <c r="B65" s="20" t="s">
        <v>191</v>
      </c>
      <c r="C65" s="20" t="s">
        <v>192</v>
      </c>
      <c r="D65" s="20" t="s">
        <v>193</v>
      </c>
      <c r="E65" s="245"/>
      <c r="F65" s="35" t="str">
        <f t="shared" si="12"/>
        <v/>
      </c>
      <c r="G65" s="35" t="str">
        <f t="shared" si="13"/>
        <v/>
      </c>
      <c r="H65" s="35"/>
      <c r="I65" s="154">
        <f t="shared" si="14"/>
        <v>0</v>
      </c>
      <c r="J65" s="35"/>
      <c r="K65" s="35"/>
      <c r="L65" s="36"/>
      <c r="M65" s="154">
        <f t="shared" si="15"/>
        <v>0</v>
      </c>
      <c r="N65" s="155">
        <f t="shared" si="21"/>
        <v>0</v>
      </c>
      <c r="O65" s="154" t="str">
        <f t="shared" si="17"/>
        <v/>
      </c>
      <c r="P65" s="154" t="str">
        <f t="shared" si="19"/>
        <v/>
      </c>
      <c r="Q65" s="22">
        <f>L65</f>
        <v>0</v>
      </c>
      <c r="R65" s="22" t="str">
        <f t="shared" si="20"/>
        <v/>
      </c>
      <c r="S65" s="23">
        <v>0.27500000000000002</v>
      </c>
      <c r="T65" s="24">
        <f t="shared" si="18"/>
        <v>11.979000000000001</v>
      </c>
      <c r="U65" s="24" t="str">
        <f>IF(AND(TRIM(T65)&lt;&gt;"",TRIM(E65)&lt;&gt;""),(E65*8.115365448432)/T65,"")</f>
        <v/>
      </c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>
        <v>1</v>
      </c>
      <c r="AH65" s="22"/>
      <c r="AI65" s="20"/>
    </row>
    <row r="66" spans="1:35" ht="17.5" hidden="1" customHeight="1" x14ac:dyDescent="0.3">
      <c r="A66" s="19"/>
      <c r="B66" s="20" t="s">
        <v>194</v>
      </c>
      <c r="C66" s="20" t="s">
        <v>192</v>
      </c>
      <c r="D66" s="20" t="s">
        <v>195</v>
      </c>
      <c r="E66" s="245"/>
      <c r="F66" s="35" t="str">
        <f t="shared" si="12"/>
        <v/>
      </c>
      <c r="G66" s="35" t="str">
        <f t="shared" si="13"/>
        <v/>
      </c>
      <c r="H66" s="35"/>
      <c r="I66" s="154">
        <f t="shared" si="14"/>
        <v>0</v>
      </c>
      <c r="J66" s="35"/>
      <c r="K66" s="35"/>
      <c r="L66" s="36"/>
      <c r="M66" s="154">
        <f t="shared" si="15"/>
        <v>0</v>
      </c>
      <c r="N66" s="155">
        <f t="shared" si="21"/>
        <v>0</v>
      </c>
      <c r="O66" s="154" t="str">
        <f t="shared" si="17"/>
        <v/>
      </c>
      <c r="P66" s="154" t="str">
        <f t="shared" si="19"/>
        <v/>
      </c>
      <c r="Q66" s="22">
        <f>L66</f>
        <v>0</v>
      </c>
      <c r="R66" s="22" t="str">
        <f t="shared" si="20"/>
        <v/>
      </c>
      <c r="S66" s="23">
        <v>0.27500000000000002</v>
      </c>
      <c r="T66" s="24">
        <f t="shared" si="18"/>
        <v>11.979000000000001</v>
      </c>
      <c r="U66" s="24" t="str">
        <f>IF(AND(TRIM(T66)&lt;&gt;"",TRIM(E66)&lt;&gt;""),(E66*30.43262043162)/T66,"")</f>
        <v/>
      </c>
      <c r="V66" s="25"/>
      <c r="W66" s="25" t="str">
        <f>IF(AND($AC$81&lt;0.08,$L$88="YES",$AH$81&gt;=5000,E66&lt;&gt;"",E66&gt;0),0.01,"")</f>
        <v/>
      </c>
      <c r="X66" s="25"/>
      <c r="Y66" s="25"/>
      <c r="Z66" s="25"/>
      <c r="AA66" s="25"/>
      <c r="AB66" s="25"/>
      <c r="AC66" s="25"/>
      <c r="AD66" s="25"/>
      <c r="AE66" s="25"/>
      <c r="AF66" s="25"/>
      <c r="AG66" s="25">
        <v>1</v>
      </c>
      <c r="AH66" s="22"/>
      <c r="AI66" s="20"/>
    </row>
    <row r="67" spans="1:35" ht="17.5" hidden="1" customHeight="1" x14ac:dyDescent="0.3">
      <c r="A67" s="19"/>
      <c r="B67" s="20" t="s">
        <v>196</v>
      </c>
      <c r="C67" s="20" t="s">
        <v>197</v>
      </c>
      <c r="D67" s="20" t="s">
        <v>198</v>
      </c>
      <c r="E67" s="245"/>
      <c r="F67" s="35" t="str">
        <f t="shared" si="12"/>
        <v/>
      </c>
      <c r="G67" s="35" t="str">
        <f t="shared" si="13"/>
        <v/>
      </c>
      <c r="H67" s="35"/>
      <c r="I67" s="154">
        <f t="shared" si="14"/>
        <v>0</v>
      </c>
      <c r="J67" s="35"/>
      <c r="K67" s="35"/>
      <c r="L67" s="36"/>
      <c r="M67" s="154">
        <f t="shared" si="15"/>
        <v>0</v>
      </c>
      <c r="N67" s="155">
        <f t="shared" si="21"/>
        <v>0</v>
      </c>
      <c r="O67" s="154" t="str">
        <f t="shared" si="17"/>
        <v/>
      </c>
      <c r="P67" s="154" t="str">
        <f t="shared" si="19"/>
        <v/>
      </c>
      <c r="Q67" s="22">
        <f>L67</f>
        <v>0</v>
      </c>
      <c r="R67" s="22" t="str">
        <f t="shared" si="20"/>
        <v/>
      </c>
      <c r="S67" s="23">
        <v>0.35399999999999998</v>
      </c>
      <c r="T67" s="24">
        <f t="shared" si="18"/>
        <v>15.42024</v>
      </c>
      <c r="U67" s="24" t="str">
        <f>IF(AND(TRIM(T67)&lt;&gt;"",TRIM(E67)&lt;&gt;""),(E67*14.815063998)/T67,"")</f>
        <v/>
      </c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>
        <v>1</v>
      </c>
      <c r="AH67" s="22"/>
      <c r="AI67" s="20"/>
    </row>
    <row r="68" spans="1:35" ht="17.5" hidden="1" customHeight="1" x14ac:dyDescent="0.3">
      <c r="A68" s="19"/>
      <c r="B68" s="20" t="s">
        <v>199</v>
      </c>
      <c r="C68" s="20" t="s">
        <v>200</v>
      </c>
      <c r="D68" s="20" t="s">
        <v>201</v>
      </c>
      <c r="E68" s="245"/>
      <c r="F68" s="35" t="str">
        <f t="shared" si="12"/>
        <v/>
      </c>
      <c r="G68" s="35" t="str">
        <f t="shared" si="13"/>
        <v/>
      </c>
      <c r="H68" s="35"/>
      <c r="I68" s="154">
        <f t="shared" si="14"/>
        <v>0</v>
      </c>
      <c r="J68" s="35"/>
      <c r="K68" s="35"/>
      <c r="L68" s="36"/>
      <c r="M68" s="154">
        <f t="shared" si="15"/>
        <v>0</v>
      </c>
      <c r="N68" s="155">
        <f t="shared" si="21"/>
        <v>0</v>
      </c>
      <c r="O68" s="154" t="str">
        <f t="shared" si="17"/>
        <v/>
      </c>
      <c r="P68" s="154" t="str">
        <f t="shared" si="19"/>
        <v/>
      </c>
      <c r="Q68" s="22">
        <f>L68</f>
        <v>0</v>
      </c>
      <c r="R68" s="22" t="str">
        <f t="shared" si="20"/>
        <v/>
      </c>
      <c r="S68" s="23">
        <v>0.35199999999999998</v>
      </c>
      <c r="T68" s="24">
        <f t="shared" si="18"/>
        <v>15.333119999999999</v>
      </c>
      <c r="U68" s="24" t="str">
        <f>IF(AND(TRIM(T68)&lt;&gt;"",TRIM(E68)&lt;&gt;""),(E68*14.10958476)/T68,"")</f>
        <v/>
      </c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>
        <v>1</v>
      </c>
      <c r="AH68" s="22"/>
      <c r="AI68" s="20"/>
    </row>
    <row r="69" spans="1:35" ht="17.5" hidden="1" customHeight="1" x14ac:dyDescent="0.3">
      <c r="A69" s="19"/>
      <c r="B69" s="20" t="s">
        <v>202</v>
      </c>
      <c r="C69" s="20" t="s">
        <v>203</v>
      </c>
      <c r="D69" s="20" t="s">
        <v>113</v>
      </c>
      <c r="E69" s="246"/>
      <c r="F69" s="35" t="str">
        <f t="shared" si="12"/>
        <v/>
      </c>
      <c r="G69" s="35" t="str">
        <f t="shared" si="13"/>
        <v/>
      </c>
      <c r="H69" s="35"/>
      <c r="I69" s="154">
        <f t="shared" si="14"/>
        <v>0</v>
      </c>
      <c r="J69" s="35"/>
      <c r="K69" s="35"/>
      <c r="L69" s="36"/>
      <c r="M69" s="154">
        <f t="shared" si="15"/>
        <v>0</v>
      </c>
      <c r="N69" s="155">
        <f t="shared" si="21"/>
        <v>0</v>
      </c>
      <c r="O69" s="154" t="str">
        <f>IF(E69 ="","",E69*N69*Q69)</f>
        <v/>
      </c>
      <c r="P69" s="154" t="str">
        <f>IF(AND(E69&lt;&gt;"",E69&gt;0),((M69/E69)-(O69/E69)),"")</f>
        <v/>
      </c>
      <c r="Q69" s="22">
        <v>74.25</v>
      </c>
      <c r="R69" s="22" t="str">
        <f>IF(AND(E69&lt;&gt;"",E69&gt;0), E69*P69,"")</f>
        <v/>
      </c>
      <c r="S69" s="23">
        <v>2</v>
      </c>
      <c r="T69" s="24">
        <f>S69*43.56</f>
        <v>87.12</v>
      </c>
      <c r="U69" s="24" t="str">
        <f>IF(AND(TRIM(T69)&lt;&gt;"",TRIM(E69)&lt;&gt;""),(E69*50)/T69,"")</f>
        <v/>
      </c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>
        <v>1</v>
      </c>
      <c r="AH69" s="22"/>
      <c r="AI69" s="20"/>
    </row>
    <row r="70" spans="1:35" ht="17.5" hidden="1" customHeight="1" x14ac:dyDescent="0.3"/>
    <row r="71" spans="1:35" ht="17.5" hidden="1" customHeight="1" x14ac:dyDescent="0.3"/>
    <row r="72" spans="1:35" ht="17.5" hidden="1" customHeight="1" x14ac:dyDescent="0.3"/>
    <row r="73" spans="1:35" ht="17.5" hidden="1" customHeight="1" x14ac:dyDescent="0.3"/>
    <row r="74" spans="1:35" ht="17.5" hidden="1" customHeight="1" x14ac:dyDescent="0.3"/>
    <row r="75" spans="1:35" ht="17.5" hidden="1" customHeight="1" x14ac:dyDescent="0.3"/>
    <row r="76" spans="1:35" ht="17.5" hidden="1" customHeight="1" x14ac:dyDescent="0.3"/>
    <row r="77" spans="1:35" ht="21.65" hidden="1" customHeight="1" x14ac:dyDescent="0.3"/>
    <row r="78" spans="1:35" ht="17.5" hidden="1" customHeight="1" x14ac:dyDescent="0.3"/>
    <row r="79" spans="1:35" ht="17.5" hidden="1" customHeight="1" x14ac:dyDescent="0.3"/>
    <row r="80" spans="1:35" ht="17.5" hidden="1" customHeight="1" x14ac:dyDescent="0.3"/>
    <row r="81" spans="1:42" ht="17.5" customHeight="1" x14ac:dyDescent="0.3">
      <c r="A81" s="42"/>
      <c r="B81" s="42"/>
      <c r="C81" s="42"/>
      <c r="D81" s="42"/>
      <c r="E81" s="251">
        <f>SUM(E17:E39,E43:E69)</f>
        <v>0</v>
      </c>
      <c r="F81" s="43"/>
      <c r="G81" s="43">
        <f>SUM(G17:G39,G43:G69)</f>
        <v>0</v>
      </c>
      <c r="H81" s="43"/>
      <c r="I81" s="157">
        <f>SUM(I17:I39)</f>
        <v>0</v>
      </c>
      <c r="J81" s="43"/>
      <c r="K81" s="43"/>
      <c r="L81" s="43"/>
      <c r="M81" s="157">
        <f>SUM(M17:M39)</f>
        <v>0</v>
      </c>
      <c r="N81" s="158"/>
      <c r="O81" s="157">
        <f>SUM(O17:O39,O44:O69)</f>
        <v>0</v>
      </c>
      <c r="P81" s="157"/>
      <c r="Q81" s="43"/>
      <c r="R81" s="43">
        <f>SUM(R17:R39,R44:R69)</f>
        <v>0</v>
      </c>
      <c r="S81" s="44"/>
      <c r="T81" s="45"/>
      <c r="U81" s="45"/>
      <c r="V81" s="44"/>
      <c r="W81" s="44"/>
      <c r="X81" s="44"/>
      <c r="Y81" s="44"/>
      <c r="Z81" s="44"/>
      <c r="AA81" s="44"/>
      <c r="AB81" s="44"/>
      <c r="AC81" s="97" t="str">
        <f>IF(VLOOKUP(7, Rebates!$B$4:$D$14, 3, FALSE) = 0, "", IF(AH81="",0,IF(ISNA(VLOOKUP(AH81,Rebates!$M$4:$P$9,3,1)),"", VLOOKUP(AH81,Rebates!$M$4:$P$9,3,1))))</f>
        <v/>
      </c>
      <c r="AD81" s="44"/>
      <c r="AE81" s="44"/>
      <c r="AF81" s="44"/>
      <c r="AG81" s="44"/>
      <c r="AH81" s="43">
        <f>SUM(AH17:AH39,AH43:AH69)</f>
        <v>0</v>
      </c>
      <c r="AI81" s="42"/>
    </row>
    <row r="82" spans="1:42" ht="13" customHeight="1" x14ac:dyDescent="0.3">
      <c r="AK82" s="276" t="s">
        <v>139</v>
      </c>
      <c r="AL82" s="277"/>
      <c r="AM82" s="277"/>
      <c r="AN82" s="277"/>
      <c r="AO82" s="277"/>
      <c r="AP82" s="278"/>
    </row>
    <row r="83" spans="1:42" ht="14.5" customHeight="1" x14ac:dyDescent="0.5">
      <c r="F83" s="197" t="s">
        <v>206</v>
      </c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46"/>
      <c r="U83" s="46"/>
      <c r="V83" s="46"/>
      <c r="W83" s="46"/>
      <c r="X83" s="46"/>
      <c r="Y83" s="46"/>
      <c r="AD83" s="8"/>
      <c r="AE83" s="6"/>
      <c r="AF83" s="6"/>
      <c r="AG83" s="6"/>
      <c r="AH83" s="6"/>
      <c r="AK83" s="279"/>
      <c r="AL83" s="280"/>
      <c r="AM83" s="280"/>
      <c r="AN83" s="280"/>
      <c r="AO83" s="280"/>
      <c r="AP83" s="281"/>
    </row>
    <row r="84" spans="1:42" ht="25" customHeight="1" thickBot="1" x14ac:dyDescent="0.55000000000000004">
      <c r="A84" s="303" t="s">
        <v>205</v>
      </c>
      <c r="B84" s="303"/>
      <c r="C84" s="303"/>
      <c r="D84" s="303"/>
      <c r="E84" s="303"/>
      <c r="F84" s="198"/>
      <c r="G84" s="198"/>
      <c r="H84" s="261"/>
      <c r="I84" s="261"/>
      <c r="J84" s="197"/>
      <c r="K84" s="197"/>
      <c r="L84" s="197"/>
      <c r="M84" s="197"/>
      <c r="N84" s="197"/>
      <c r="O84" s="197"/>
      <c r="P84" s="299" t="s">
        <v>333</v>
      </c>
      <c r="Q84" s="299"/>
      <c r="R84" s="299"/>
      <c r="S84" s="299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8"/>
      <c r="AE84" s="6"/>
      <c r="AF84" s="6"/>
      <c r="AG84" s="6"/>
      <c r="AH84" s="6"/>
      <c r="AK84" s="279"/>
      <c r="AL84" s="280"/>
      <c r="AM84" s="280"/>
      <c r="AN84" s="280"/>
      <c r="AO84" s="280"/>
      <c r="AP84" s="281"/>
    </row>
    <row r="85" spans="1:42" ht="14.15" customHeight="1" thickTop="1" thickBot="1" x14ac:dyDescent="0.35">
      <c r="A85" s="334" t="s">
        <v>339</v>
      </c>
      <c r="B85" s="334"/>
      <c r="C85" s="334"/>
      <c r="D85" s="334"/>
      <c r="E85" s="252"/>
      <c r="F85" s="47" t="s">
        <v>208</v>
      </c>
      <c r="G85" s="47"/>
      <c r="H85" s="47"/>
      <c r="I85" s="47"/>
      <c r="J85" s="47"/>
      <c r="K85" s="47"/>
      <c r="L85" s="47"/>
      <c r="M85" s="47"/>
      <c r="N85" s="47"/>
      <c r="O85" s="47"/>
      <c r="P85" s="299"/>
      <c r="Q85" s="299"/>
      <c r="R85" s="299"/>
      <c r="S85" s="299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8"/>
      <c r="AE85" s="6"/>
      <c r="AF85" s="6"/>
      <c r="AG85" s="6"/>
      <c r="AH85" s="6"/>
      <c r="AK85" s="282"/>
      <c r="AL85" s="283"/>
      <c r="AM85" s="283"/>
      <c r="AN85" s="283"/>
      <c r="AO85" s="283"/>
      <c r="AP85" s="284"/>
    </row>
    <row r="86" spans="1:42" ht="14.15" customHeight="1" thickTop="1" thickBot="1" x14ac:dyDescent="0.35">
      <c r="A86" s="334"/>
      <c r="B86" s="334"/>
      <c r="C86" s="334"/>
      <c r="D86" s="334"/>
      <c r="E86" s="253"/>
      <c r="F86" s="48"/>
      <c r="G86" s="48"/>
      <c r="H86" s="48"/>
      <c r="I86" s="48"/>
      <c r="J86" s="48"/>
      <c r="K86" s="48"/>
      <c r="L86" s="335" t="s">
        <v>334</v>
      </c>
      <c r="M86" s="335"/>
      <c r="N86" s="335"/>
      <c r="O86" s="335"/>
      <c r="P86" s="335"/>
      <c r="Q86" s="335"/>
      <c r="R86" s="335"/>
      <c r="S86" s="335"/>
      <c r="T86" s="47"/>
      <c r="U86" s="47"/>
      <c r="V86" s="47"/>
      <c r="W86" s="47"/>
      <c r="X86" s="47"/>
      <c r="Y86" s="47"/>
      <c r="AD86" s="8"/>
      <c r="AE86" s="6"/>
      <c r="AF86" s="6"/>
      <c r="AG86" s="6"/>
      <c r="AH86" s="6"/>
      <c r="AI86" s="7"/>
      <c r="AK86" s="126"/>
      <c r="AL86" s="126"/>
      <c r="AM86" s="127"/>
      <c r="AN86" s="126"/>
      <c r="AO86" s="128"/>
      <c r="AP86" s="130"/>
    </row>
    <row r="87" spans="1:42" ht="21.65" customHeight="1" thickTop="1" x14ac:dyDescent="0.3">
      <c r="A87" s="334"/>
      <c r="B87" s="334"/>
      <c r="C87" s="334"/>
      <c r="D87" s="334"/>
      <c r="E87" s="253"/>
      <c r="F87" s="49"/>
      <c r="G87" s="50"/>
      <c r="H87" s="50"/>
      <c r="I87" s="50"/>
      <c r="J87" s="50"/>
      <c r="K87" s="50"/>
      <c r="L87" s="335"/>
      <c r="M87" s="335"/>
      <c r="N87" s="335"/>
      <c r="O87" s="335"/>
      <c r="P87" s="335"/>
      <c r="Q87" s="335"/>
      <c r="R87" s="335"/>
      <c r="S87" s="335"/>
      <c r="T87" s="51"/>
      <c r="U87" s="51"/>
      <c r="V87" s="51"/>
      <c r="W87" s="51"/>
      <c r="X87" s="51"/>
      <c r="Y87" s="51"/>
      <c r="AD87" s="8"/>
      <c r="AE87" s="6"/>
      <c r="AF87" s="6"/>
      <c r="AG87" s="6"/>
      <c r="AH87" s="6"/>
      <c r="AI87" s="7"/>
      <c r="AK87" s="39" t="s">
        <v>12</v>
      </c>
      <c r="AL87" s="27" t="s">
        <v>13</v>
      </c>
      <c r="AM87" s="28" t="s">
        <v>14</v>
      </c>
      <c r="AN87" s="27" t="s">
        <v>15</v>
      </c>
      <c r="AO87" s="29" t="s">
        <v>16</v>
      </c>
      <c r="AP87" s="40" t="s">
        <v>17</v>
      </c>
    </row>
    <row r="88" spans="1:42" ht="12" customHeight="1" x14ac:dyDescent="0.3">
      <c r="A88" s="305" t="s">
        <v>209</v>
      </c>
      <c r="B88" s="305"/>
      <c r="C88" s="305"/>
      <c r="D88" s="305"/>
      <c r="E88" s="256">
        <f>G81</f>
        <v>0</v>
      </c>
      <c r="F88" s="49"/>
      <c r="G88" s="48"/>
      <c r="H88" s="48"/>
      <c r="I88" s="48"/>
      <c r="J88" s="48"/>
      <c r="K88" s="48"/>
      <c r="L88" s="333" t="s">
        <v>210</v>
      </c>
      <c r="M88" s="333"/>
      <c r="N88" s="333"/>
      <c r="O88" s="333"/>
      <c r="P88" s="333"/>
      <c r="Q88" s="333"/>
      <c r="R88" s="333"/>
      <c r="S88" s="333"/>
      <c r="T88" s="54"/>
      <c r="U88" s="54"/>
      <c r="V88" s="51"/>
      <c r="W88" s="51"/>
      <c r="X88" s="51"/>
      <c r="Y88" s="51"/>
      <c r="AK88" s="41" t="s">
        <v>123</v>
      </c>
      <c r="AL88" s="38" t="s">
        <v>52</v>
      </c>
      <c r="AM88" s="31">
        <v>4</v>
      </c>
      <c r="AN88" s="19" t="s">
        <v>124</v>
      </c>
      <c r="AO88" s="32">
        <v>2</v>
      </c>
      <c r="AP88" s="159">
        <f>(AM88*319.999849189052)/(AO88*43.56)</f>
        <v>14.692371404456013</v>
      </c>
    </row>
    <row r="89" spans="1:42" ht="12.65" customHeight="1" x14ac:dyDescent="0.3">
      <c r="A89" s="306" t="s">
        <v>211</v>
      </c>
      <c r="B89" s="306"/>
      <c r="C89" s="306"/>
      <c r="D89" s="306"/>
      <c r="E89" s="257">
        <f>SUM(G81-M81)</f>
        <v>0</v>
      </c>
      <c r="F89" s="49"/>
      <c r="G89" s="48"/>
      <c r="H89" s="48"/>
      <c r="I89" s="48"/>
      <c r="J89" s="48"/>
      <c r="K89" s="48"/>
      <c r="L89" s="333"/>
      <c r="M89" s="333"/>
      <c r="N89" s="333"/>
      <c r="O89" s="333"/>
      <c r="P89" s="333"/>
      <c r="Q89" s="333"/>
      <c r="R89" s="333"/>
      <c r="S89" s="333"/>
      <c r="T89" s="54"/>
      <c r="U89" s="54"/>
      <c r="V89" s="51"/>
      <c r="W89" s="51"/>
      <c r="X89" s="51"/>
      <c r="Y89" s="51"/>
      <c r="AK89" s="149" t="s">
        <v>159</v>
      </c>
      <c r="AL89" s="38" t="s">
        <v>100</v>
      </c>
      <c r="AM89" s="31">
        <v>24</v>
      </c>
      <c r="AN89" s="19" t="s">
        <v>130</v>
      </c>
      <c r="AO89" s="32">
        <v>4</v>
      </c>
      <c r="AP89" s="159">
        <f>(AM89*87.9999998763089)/(AO89*43.56)</f>
        <v>12.121212104174781</v>
      </c>
    </row>
    <row r="90" spans="1:42" ht="13.5" customHeight="1" x14ac:dyDescent="0.3">
      <c r="A90" s="305" t="s">
        <v>332</v>
      </c>
      <c r="B90" s="305"/>
      <c r="C90" s="305"/>
      <c r="D90" s="305"/>
      <c r="E90" s="256">
        <f>M81</f>
        <v>0</v>
      </c>
      <c r="F90" s="56"/>
      <c r="G90" s="57" t="s">
        <v>293</v>
      </c>
      <c r="H90" s="57"/>
      <c r="I90" s="57"/>
      <c r="J90" s="57"/>
      <c r="K90" s="57"/>
      <c r="L90" s="57" t="s">
        <v>293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AK90" s="39" t="s">
        <v>48</v>
      </c>
      <c r="AL90" s="27" t="s">
        <v>13</v>
      </c>
      <c r="AM90" s="28" t="s">
        <v>14</v>
      </c>
      <c r="AN90" s="27" t="s">
        <v>15</v>
      </c>
      <c r="AO90" s="29" t="s">
        <v>16</v>
      </c>
      <c r="AP90" s="40" t="s">
        <v>17</v>
      </c>
    </row>
    <row r="91" spans="1:42" ht="13.5" customHeight="1" x14ac:dyDescent="0.3">
      <c r="A91" s="285" t="s">
        <v>328</v>
      </c>
      <c r="B91" s="286"/>
      <c r="C91" s="286"/>
      <c r="D91" s="287"/>
      <c r="E91" s="254" t="str">
        <f>IF(AC81="","",(IF(L88="YES",AC81+0.01,AC81)))</f>
        <v/>
      </c>
      <c r="F91" s="58"/>
      <c r="G91" s="57"/>
      <c r="H91" s="57"/>
      <c r="I91" s="57"/>
      <c r="J91" s="57"/>
      <c r="K91" s="57"/>
      <c r="L91" s="57"/>
      <c r="M91" s="57"/>
      <c r="N91" s="57"/>
      <c r="O91" s="57"/>
      <c r="P91" s="301" t="s">
        <v>293</v>
      </c>
      <c r="Q91" s="301"/>
      <c r="R91" s="301"/>
      <c r="S91" s="301"/>
      <c r="T91" s="57"/>
      <c r="U91" s="57"/>
      <c r="V91" s="57"/>
      <c r="W91" s="57"/>
      <c r="X91" s="57"/>
      <c r="Y91" s="57"/>
      <c r="AK91" s="19" t="s">
        <v>49</v>
      </c>
      <c r="AL91" s="19"/>
      <c r="AM91" s="31"/>
      <c r="AN91" s="19"/>
      <c r="AO91" s="113"/>
      <c r="AP91" s="114"/>
    </row>
    <row r="92" spans="1:42" ht="13" customHeight="1" x14ac:dyDescent="0.3">
      <c r="A92" s="332" t="s">
        <v>214</v>
      </c>
      <c r="B92" s="332"/>
      <c r="C92" s="332"/>
      <c r="D92" s="332"/>
      <c r="E92" s="255">
        <f>O81</f>
        <v>0</v>
      </c>
      <c r="F92" s="58"/>
      <c r="G92" s="57"/>
      <c r="H92" s="57"/>
      <c r="I92" s="57"/>
      <c r="J92" s="57"/>
      <c r="K92" s="57"/>
      <c r="L92" s="57"/>
      <c r="M92" s="57"/>
      <c r="N92" s="57"/>
      <c r="O92" s="57"/>
      <c r="P92" s="301"/>
      <c r="Q92" s="301"/>
      <c r="R92" s="301"/>
      <c r="S92" s="301"/>
      <c r="T92" s="57"/>
      <c r="U92" s="57"/>
      <c r="V92" s="57"/>
      <c r="W92" s="57"/>
      <c r="X92" s="57"/>
      <c r="Y92" s="57"/>
    </row>
    <row r="93" spans="1:42" ht="13" customHeight="1" x14ac:dyDescent="0.3">
      <c r="A93" s="302" t="s">
        <v>331</v>
      </c>
      <c r="B93" s="302"/>
      <c r="C93" s="302"/>
      <c r="D93" s="302"/>
      <c r="E93" s="258">
        <f>R81</f>
        <v>0</v>
      </c>
      <c r="F93" s="58"/>
      <c r="G93" s="57"/>
      <c r="H93" s="57"/>
      <c r="I93" s="57"/>
      <c r="J93" s="57"/>
      <c r="K93" s="57"/>
      <c r="L93" s="57"/>
      <c r="M93" s="57"/>
      <c r="N93" s="57"/>
      <c r="O93" s="57"/>
      <c r="P93" s="301"/>
      <c r="Q93" s="301"/>
      <c r="R93" s="301"/>
      <c r="S93" s="301"/>
      <c r="T93" s="57"/>
      <c r="U93" s="57"/>
      <c r="V93" s="57"/>
      <c r="W93" s="57"/>
      <c r="X93" s="57"/>
      <c r="Y93" s="57"/>
    </row>
    <row r="94" spans="1:42" ht="14.5" customHeight="1" x14ac:dyDescent="0.3">
      <c r="A94" s="339" t="s">
        <v>216</v>
      </c>
      <c r="B94" s="339"/>
      <c r="C94" s="339"/>
      <c r="D94" s="339"/>
      <c r="E94" s="259">
        <f>IF(AND(M81 &lt;&gt;"", M81 &gt; 0), SUM(O81/M81),0)</f>
        <v>0</v>
      </c>
      <c r="F94" s="58"/>
      <c r="G94" s="57"/>
      <c r="H94" s="57"/>
      <c r="I94" s="57"/>
      <c r="J94" s="57"/>
      <c r="K94" s="57"/>
      <c r="L94" s="57"/>
      <c r="M94" s="57"/>
      <c r="N94" s="57"/>
      <c r="O94" s="57"/>
      <c r="P94" s="301"/>
      <c r="Q94" s="301"/>
      <c r="R94" s="301"/>
      <c r="S94" s="301"/>
      <c r="T94" s="57"/>
      <c r="U94" s="57"/>
      <c r="V94" s="57"/>
      <c r="W94" s="57"/>
      <c r="X94" s="57"/>
      <c r="Y94" s="57"/>
      <c r="AK94" s="276" t="s">
        <v>285</v>
      </c>
      <c r="AL94" s="277"/>
      <c r="AM94" s="277"/>
      <c r="AN94" s="277"/>
      <c r="AO94" s="277"/>
      <c r="AP94" s="278"/>
    </row>
    <row r="95" spans="1:42" ht="14.5" hidden="1" customHeight="1" x14ac:dyDescent="0.3">
      <c r="A95" s="302" t="s">
        <v>217</v>
      </c>
      <c r="B95" s="302"/>
      <c r="C95" s="302"/>
      <c r="D95" s="302"/>
      <c r="E95" s="260">
        <f>IF(AND(E87 &lt;&gt; "", E87 &gt; 0), ((E87 - E89) + E91)/E87,0)</f>
        <v>0</v>
      </c>
      <c r="G95" s="57"/>
      <c r="H95" s="57"/>
      <c r="I95" s="57"/>
      <c r="J95" s="57"/>
      <c r="K95" s="57"/>
      <c r="L95" s="57"/>
      <c r="M95" s="57"/>
      <c r="N95" s="57"/>
      <c r="O95" s="57"/>
      <c r="P95" s="301"/>
      <c r="Q95" s="301"/>
      <c r="R95" s="301"/>
      <c r="S95" s="301"/>
      <c r="AK95" s="279"/>
      <c r="AL95" s="280"/>
      <c r="AM95" s="280"/>
      <c r="AN95" s="280"/>
      <c r="AO95" s="280"/>
      <c r="AP95" s="281"/>
    </row>
    <row r="96" spans="1:42" ht="14.5" customHeight="1" thickBot="1" x14ac:dyDescent="0.35">
      <c r="A96" s="302" t="s">
        <v>330</v>
      </c>
      <c r="B96" s="302"/>
      <c r="C96" s="302"/>
      <c r="D96" s="302"/>
      <c r="E96" s="260">
        <f>IF(AND(E88 &lt;&gt; "", E88 &gt; 0), ((E88 - E90) + E92)/E88,0)</f>
        <v>0</v>
      </c>
      <c r="P96" s="301"/>
      <c r="Q96" s="301"/>
      <c r="R96" s="301"/>
      <c r="S96" s="301"/>
      <c r="AK96" s="282"/>
      <c r="AL96" s="283"/>
      <c r="AM96" s="283"/>
      <c r="AN96" s="283"/>
      <c r="AO96" s="283"/>
      <c r="AP96" s="284"/>
    </row>
    <row r="97" spans="1:42" ht="15" customHeight="1" thickTop="1" x14ac:dyDescent="0.3">
      <c r="A97" s="323" t="str">
        <f>CONCATENATE("Estimated MBR points to be earned in the Product Cart: ",TEXT(IF(AND(E92 &lt;&gt;"", E92 &gt; 0),E92*100, 0),"#,##0"))</f>
        <v>Estimated MBR points to be earned in the Product Cart: 0</v>
      </c>
      <c r="B97" s="324"/>
      <c r="C97" s="324"/>
      <c r="D97" s="324"/>
      <c r="E97" s="325"/>
      <c r="P97" s="301"/>
      <c r="Q97" s="301"/>
      <c r="R97" s="301"/>
      <c r="S97" s="301"/>
      <c r="AK97" s="126"/>
      <c r="AL97" s="126"/>
      <c r="AM97" s="127"/>
      <c r="AN97" s="126"/>
      <c r="AO97" s="128"/>
      <c r="AP97" s="130"/>
    </row>
    <row r="98" spans="1:42" ht="19.5" customHeight="1" x14ac:dyDescent="0.3">
      <c r="A98" s="304" t="s">
        <v>298</v>
      </c>
      <c r="B98" s="304"/>
      <c r="C98" s="304"/>
      <c r="D98" s="304"/>
      <c r="E98" s="304"/>
      <c r="P98" s="301"/>
      <c r="Q98" s="301"/>
      <c r="R98" s="301"/>
      <c r="S98" s="301"/>
      <c r="AK98" s="39" t="s">
        <v>12</v>
      </c>
      <c r="AL98" s="27" t="s">
        <v>13</v>
      </c>
      <c r="AM98" s="28" t="s">
        <v>14</v>
      </c>
      <c r="AN98" s="27" t="s">
        <v>15</v>
      </c>
      <c r="AO98" s="29" t="s">
        <v>16</v>
      </c>
      <c r="AP98" s="40" t="s">
        <v>17</v>
      </c>
    </row>
    <row r="99" spans="1:42" x14ac:dyDescent="0.3">
      <c r="A99" s="304"/>
      <c r="B99" s="304"/>
      <c r="C99" s="304"/>
      <c r="D99" s="304"/>
      <c r="E99" s="304"/>
      <c r="P99" s="301"/>
      <c r="Q99" s="301"/>
      <c r="R99" s="301"/>
      <c r="S99" s="301"/>
      <c r="AK99" s="41" t="s">
        <v>184</v>
      </c>
      <c r="AL99" s="38" t="s">
        <v>52</v>
      </c>
      <c r="AM99" s="31">
        <v>6</v>
      </c>
      <c r="AN99" s="19" t="s">
        <v>185</v>
      </c>
      <c r="AO99" s="32">
        <v>4</v>
      </c>
      <c r="AP99" s="159">
        <f>(AM99*319.999849189052)/(AO99*43.56)</f>
        <v>11.01927855334201</v>
      </c>
    </row>
    <row r="100" spans="1:42" x14ac:dyDescent="0.3">
      <c r="A100" s="304"/>
      <c r="B100" s="304"/>
      <c r="C100" s="304"/>
      <c r="D100" s="304"/>
      <c r="E100" s="304"/>
      <c r="P100" s="301"/>
      <c r="Q100" s="301"/>
      <c r="R100" s="301"/>
      <c r="S100" s="301"/>
      <c r="AK100" s="41" t="s">
        <v>189</v>
      </c>
      <c r="AL100" s="38" t="s">
        <v>52</v>
      </c>
      <c r="AM100" s="31">
        <v>2</v>
      </c>
      <c r="AN100" s="19" t="s">
        <v>190</v>
      </c>
      <c r="AO100" s="32">
        <v>1</v>
      </c>
      <c r="AP100" s="159">
        <f>(AM100*319.999849189052)/(AO100*43.56)</f>
        <v>14.692371404456013</v>
      </c>
    </row>
    <row r="101" spans="1:42" ht="13" customHeight="1" x14ac:dyDescent="0.3">
      <c r="A101" s="304"/>
      <c r="B101" s="304"/>
      <c r="C101" s="304"/>
      <c r="D101" s="304"/>
      <c r="E101" s="304"/>
      <c r="AK101" s="39" t="s">
        <v>48</v>
      </c>
      <c r="AL101" s="27" t="s">
        <v>13</v>
      </c>
      <c r="AM101" s="28" t="s">
        <v>14</v>
      </c>
      <c r="AN101" s="27" t="s">
        <v>15</v>
      </c>
      <c r="AO101" s="29" t="s">
        <v>16</v>
      </c>
      <c r="AP101" s="40" t="s">
        <v>17</v>
      </c>
    </row>
    <row r="102" spans="1:42" ht="13" customHeight="1" x14ac:dyDescent="0.3">
      <c r="A102" s="304"/>
      <c r="B102" s="304"/>
      <c r="C102" s="304"/>
      <c r="D102" s="304"/>
      <c r="E102" s="304"/>
      <c r="P102" s="300"/>
      <c r="Q102" s="300"/>
      <c r="R102" s="300"/>
      <c r="S102" s="300"/>
      <c r="T102" s="300"/>
      <c r="U102" s="300"/>
      <c r="V102" s="300"/>
      <c r="W102" s="300"/>
      <c r="X102" s="300"/>
      <c r="AK102" s="151" t="s">
        <v>49</v>
      </c>
      <c r="AL102" s="152"/>
      <c r="AM102" s="152"/>
      <c r="AN102" s="152"/>
      <c r="AO102" s="152"/>
      <c r="AP102" s="153"/>
    </row>
    <row r="103" spans="1:42" ht="13" customHeight="1" x14ac:dyDescent="0.3">
      <c r="A103" s="304"/>
      <c r="B103" s="304"/>
      <c r="C103" s="304"/>
      <c r="D103" s="304"/>
      <c r="E103" s="304"/>
      <c r="P103" s="300"/>
      <c r="Q103" s="300"/>
      <c r="R103" s="300"/>
      <c r="S103" s="300"/>
      <c r="T103" s="300"/>
      <c r="U103" s="300"/>
      <c r="V103" s="300"/>
      <c r="W103" s="300"/>
      <c r="X103" s="300"/>
      <c r="AK103" s="10"/>
      <c r="AL103" s="11"/>
      <c r="AM103" s="6"/>
      <c r="AO103" s="6"/>
      <c r="AP103" s="6"/>
    </row>
    <row r="104" spans="1:42" ht="13.5" customHeight="1" x14ac:dyDescent="0.3">
      <c r="A104" s="304"/>
      <c r="B104" s="304"/>
      <c r="C104" s="304"/>
      <c r="D104" s="304"/>
      <c r="E104" s="304"/>
      <c r="P104" s="300"/>
      <c r="Q104" s="300"/>
      <c r="R104" s="300"/>
      <c r="S104" s="300"/>
      <c r="T104" s="300"/>
      <c r="U104" s="300"/>
      <c r="V104" s="300"/>
      <c r="W104" s="300"/>
      <c r="X104" s="300"/>
    </row>
    <row r="105" spans="1:42" ht="21.5" thickBot="1" x14ac:dyDescent="0.55000000000000004">
      <c r="A105" s="304"/>
      <c r="B105" s="304"/>
      <c r="C105" s="304"/>
      <c r="D105" s="304"/>
      <c r="E105" s="304"/>
      <c r="P105" s="300"/>
      <c r="Q105" s="300"/>
      <c r="R105" s="300"/>
      <c r="S105" s="300"/>
      <c r="T105" s="300"/>
      <c r="U105" s="300"/>
      <c r="V105" s="300"/>
      <c r="W105" s="300"/>
      <c r="X105" s="300"/>
      <c r="AK105" s="121" t="s">
        <v>204</v>
      </c>
      <c r="AL105" s="121"/>
      <c r="AM105" s="122"/>
      <c r="AN105" s="121"/>
      <c r="AO105" s="123"/>
      <c r="AP105" s="124"/>
    </row>
    <row r="106" spans="1:42" ht="22" thickTop="1" thickBot="1" x14ac:dyDescent="0.55000000000000004">
      <c r="A106" s="304"/>
      <c r="B106" s="304"/>
      <c r="C106" s="304"/>
      <c r="D106" s="304"/>
      <c r="E106" s="304"/>
      <c r="P106" s="300"/>
      <c r="Q106" s="300"/>
      <c r="R106" s="300"/>
      <c r="S106" s="300"/>
      <c r="T106" s="300"/>
      <c r="U106" s="300"/>
      <c r="V106" s="300"/>
      <c r="W106" s="300"/>
      <c r="X106" s="300"/>
      <c r="AK106" s="121"/>
      <c r="AL106" s="121"/>
      <c r="AM106" s="122"/>
      <c r="AN106" s="121"/>
      <c r="AO106" s="123"/>
      <c r="AP106" s="124"/>
    </row>
    <row r="107" spans="1:42" ht="13.5" thickTop="1" x14ac:dyDescent="0.3">
      <c r="A107" s="304"/>
      <c r="B107" s="304"/>
      <c r="C107" s="304"/>
      <c r="D107" s="304"/>
      <c r="E107" s="304"/>
    </row>
    <row r="108" spans="1:42" x14ac:dyDescent="0.3">
      <c r="A108" s="304"/>
      <c r="B108" s="304"/>
      <c r="C108" s="304"/>
      <c r="D108" s="304"/>
      <c r="E108" s="304"/>
      <c r="AK108" s="276" t="s">
        <v>283</v>
      </c>
      <c r="AL108" s="277"/>
      <c r="AM108" s="277"/>
      <c r="AN108" s="277"/>
      <c r="AO108" s="277"/>
      <c r="AP108" s="278"/>
    </row>
    <row r="109" spans="1:42" x14ac:dyDescent="0.3">
      <c r="A109" s="304"/>
      <c r="B109" s="304"/>
      <c r="C109" s="304"/>
      <c r="D109" s="304"/>
      <c r="E109" s="304"/>
      <c r="AK109" s="279"/>
      <c r="AL109" s="280"/>
      <c r="AM109" s="280"/>
      <c r="AN109" s="280"/>
      <c r="AO109" s="280"/>
      <c r="AP109" s="281"/>
    </row>
    <row r="110" spans="1:42" x14ac:dyDescent="0.3">
      <c r="A110" s="304"/>
      <c r="B110" s="304"/>
      <c r="C110" s="304"/>
      <c r="D110" s="304"/>
      <c r="E110" s="304"/>
      <c r="AK110" s="279"/>
      <c r="AL110" s="280"/>
      <c r="AM110" s="280"/>
      <c r="AN110" s="280"/>
      <c r="AO110" s="280"/>
      <c r="AP110" s="281"/>
    </row>
    <row r="111" spans="1:42" ht="13.5" thickBot="1" x14ac:dyDescent="0.35">
      <c r="A111" s="304"/>
      <c r="B111" s="304"/>
      <c r="C111" s="304"/>
      <c r="D111" s="304"/>
      <c r="E111" s="304"/>
      <c r="AK111" s="282"/>
      <c r="AL111" s="283"/>
      <c r="AM111" s="283"/>
      <c r="AN111" s="283"/>
      <c r="AO111" s="283"/>
      <c r="AP111" s="284"/>
    </row>
    <row r="112" spans="1:42" ht="13.5" thickTop="1" x14ac:dyDescent="0.3">
      <c r="A112" s="304"/>
      <c r="B112" s="304"/>
      <c r="C112" s="304"/>
      <c r="D112" s="304"/>
      <c r="E112" s="304"/>
      <c r="AK112" s="126"/>
      <c r="AL112" s="126"/>
      <c r="AM112" s="127"/>
      <c r="AN112" s="126"/>
      <c r="AO112" s="128"/>
      <c r="AP112" s="130"/>
    </row>
    <row r="113" spans="1:42" x14ac:dyDescent="0.3">
      <c r="A113" s="304"/>
      <c r="B113" s="304"/>
      <c r="C113" s="304"/>
      <c r="D113" s="304"/>
      <c r="E113" s="304"/>
      <c r="AK113" s="39" t="s">
        <v>12</v>
      </c>
      <c r="AL113" s="27" t="s">
        <v>13</v>
      </c>
      <c r="AM113" s="28" t="s">
        <v>14</v>
      </c>
      <c r="AN113" s="27" t="s">
        <v>15</v>
      </c>
      <c r="AO113" s="29" t="s">
        <v>16</v>
      </c>
      <c r="AP113" s="40" t="s">
        <v>17</v>
      </c>
    </row>
    <row r="114" spans="1:42" ht="26" x14ac:dyDescent="0.3">
      <c r="AK114" s="148" t="s">
        <v>212</v>
      </c>
      <c r="AL114" s="110" t="s">
        <v>213</v>
      </c>
      <c r="AM114" s="107" t="s">
        <v>129</v>
      </c>
      <c r="AN114" s="108" t="s">
        <v>130</v>
      </c>
      <c r="AO114" s="109">
        <v>4</v>
      </c>
      <c r="AP114" s="160">
        <f>(3*703.999999010471)/(AO114*43.56)</f>
        <v>12.121212104174775</v>
      </c>
    </row>
    <row r="115" spans="1:42" x14ac:dyDescent="0.3">
      <c r="AK115" s="108" t="s">
        <v>184</v>
      </c>
      <c r="AL115" s="106" t="s">
        <v>52</v>
      </c>
      <c r="AM115" s="111">
        <v>6</v>
      </c>
      <c r="AN115" s="108" t="s">
        <v>185</v>
      </c>
      <c r="AO115" s="109">
        <v>4</v>
      </c>
      <c r="AP115" s="160">
        <f>(AM115*319.999849189052)/(AO115*43.56)</f>
        <v>11.01927855334201</v>
      </c>
    </row>
    <row r="116" spans="1:42" x14ac:dyDescent="0.3">
      <c r="AK116" s="39" t="s">
        <v>48</v>
      </c>
      <c r="AL116" s="27" t="s">
        <v>13</v>
      </c>
      <c r="AM116" s="28" t="s">
        <v>14</v>
      </c>
      <c r="AN116" s="27" t="s">
        <v>15</v>
      </c>
      <c r="AO116" s="29" t="s">
        <v>16</v>
      </c>
      <c r="AP116" s="40" t="s">
        <v>17</v>
      </c>
    </row>
    <row r="117" spans="1:42" x14ac:dyDescent="0.3">
      <c r="AK117" s="151" t="s">
        <v>49</v>
      </c>
      <c r="AL117" s="152"/>
      <c r="AM117" s="152"/>
      <c r="AN117" s="152"/>
      <c r="AO117" s="152"/>
      <c r="AP117" s="153"/>
    </row>
    <row r="119" spans="1:42" ht="37" customHeight="1" x14ac:dyDescent="0.3">
      <c r="AK119" s="276" t="s">
        <v>284</v>
      </c>
      <c r="AL119" s="277"/>
      <c r="AM119" s="277"/>
      <c r="AN119" s="277"/>
      <c r="AO119" s="277"/>
      <c r="AP119" s="278"/>
    </row>
    <row r="120" spans="1:42" ht="14.5" customHeight="1" x14ac:dyDescent="0.3">
      <c r="AK120" s="279"/>
      <c r="AL120" s="280"/>
      <c r="AM120" s="280"/>
      <c r="AN120" s="280"/>
      <c r="AO120" s="280"/>
      <c r="AP120" s="281"/>
    </row>
    <row r="121" spans="1:42" ht="14.5" customHeight="1" x14ac:dyDescent="0.3">
      <c r="AK121" s="279"/>
      <c r="AL121" s="280"/>
      <c r="AM121" s="280"/>
      <c r="AN121" s="280"/>
      <c r="AO121" s="280"/>
      <c r="AP121" s="281"/>
    </row>
    <row r="122" spans="1:42" ht="13" customHeight="1" thickBot="1" x14ac:dyDescent="0.35">
      <c r="AK122" s="282"/>
      <c r="AL122" s="283"/>
      <c r="AM122" s="283"/>
      <c r="AN122" s="283"/>
      <c r="AO122" s="283"/>
      <c r="AP122" s="284"/>
    </row>
    <row r="123" spans="1:42" ht="13" customHeight="1" thickTop="1" x14ac:dyDescent="0.3">
      <c r="AK123" s="126"/>
      <c r="AL123" s="126"/>
      <c r="AM123" s="127"/>
      <c r="AN123" s="126"/>
      <c r="AO123" s="128"/>
      <c r="AP123" s="130"/>
    </row>
    <row r="124" spans="1:42" x14ac:dyDescent="0.3">
      <c r="AK124" s="39" t="s">
        <v>12</v>
      </c>
      <c r="AL124" s="27" t="s">
        <v>13</v>
      </c>
      <c r="AM124" s="28" t="s">
        <v>14</v>
      </c>
      <c r="AN124" s="27" t="s">
        <v>15</v>
      </c>
      <c r="AO124" s="29" t="s">
        <v>16</v>
      </c>
      <c r="AP124" s="40" t="s">
        <v>17</v>
      </c>
    </row>
    <row r="125" spans="1:42" x14ac:dyDescent="0.3">
      <c r="AK125" s="41" t="s">
        <v>159</v>
      </c>
      <c r="AL125" s="38" t="s">
        <v>52</v>
      </c>
      <c r="AM125" s="31">
        <v>24</v>
      </c>
      <c r="AN125" s="19" t="s">
        <v>130</v>
      </c>
      <c r="AO125" s="32">
        <v>4</v>
      </c>
      <c r="AP125" s="159">
        <f>(AM125*87.9999998763089)/(AO125*43.56)</f>
        <v>12.121212104174781</v>
      </c>
    </row>
    <row r="126" spans="1:42" x14ac:dyDescent="0.3">
      <c r="AK126" s="41" t="s">
        <v>184</v>
      </c>
      <c r="AL126" s="38" t="s">
        <v>52</v>
      </c>
      <c r="AM126" s="31">
        <v>6</v>
      </c>
      <c r="AN126" s="19" t="s">
        <v>185</v>
      </c>
      <c r="AO126" s="32">
        <v>4</v>
      </c>
      <c r="AP126" s="159">
        <f>(AM126*319.999849189052)/(AO126*43.56)</f>
        <v>11.01927855334201</v>
      </c>
    </row>
    <row r="127" spans="1:42" x14ac:dyDescent="0.3">
      <c r="AK127" s="39" t="s">
        <v>48</v>
      </c>
      <c r="AL127" s="27" t="s">
        <v>13</v>
      </c>
      <c r="AM127" s="28" t="s">
        <v>14</v>
      </c>
      <c r="AN127" s="27" t="s">
        <v>15</v>
      </c>
      <c r="AO127" s="29" t="s">
        <v>16</v>
      </c>
      <c r="AP127" s="40" t="s">
        <v>17</v>
      </c>
    </row>
    <row r="128" spans="1:42" x14ac:dyDescent="0.3">
      <c r="AK128" s="201" t="s">
        <v>49</v>
      </c>
      <c r="AL128" s="202"/>
      <c r="AM128" s="202"/>
      <c r="AN128" s="202"/>
      <c r="AO128" s="202"/>
      <c r="AP128" s="203"/>
    </row>
  </sheetData>
  <mergeCells count="68">
    <mergeCell ref="V16:V18"/>
    <mergeCell ref="W16:W18"/>
    <mergeCell ref="X16:X18"/>
    <mergeCell ref="Y16:Y18"/>
    <mergeCell ref="P16:P18"/>
    <mergeCell ref="A1:C1"/>
    <mergeCell ref="M1:U1"/>
    <mergeCell ref="D1:E1"/>
    <mergeCell ref="J16:J18"/>
    <mergeCell ref="K16:K18"/>
    <mergeCell ref="M3:T3"/>
    <mergeCell ref="O16:O18"/>
    <mergeCell ref="A16:A18"/>
    <mergeCell ref="B16:B18"/>
    <mergeCell ref="C16:C18"/>
    <mergeCell ref="D16:D18"/>
    <mergeCell ref="E16:E18"/>
    <mergeCell ref="G16:G18"/>
    <mergeCell ref="L16:L18"/>
    <mergeCell ref="U16:U18"/>
    <mergeCell ref="Z16:Z18"/>
    <mergeCell ref="AA16:AA18"/>
    <mergeCell ref="AH16:AH18"/>
    <mergeCell ref="AI16:AI18"/>
    <mergeCell ref="AB16:AB18"/>
    <mergeCell ref="AC16:AC18"/>
    <mergeCell ref="AD16:AD18"/>
    <mergeCell ref="AE16:AE18"/>
    <mergeCell ref="AF16:AF18"/>
    <mergeCell ref="AG16:AG18"/>
    <mergeCell ref="A96:D96"/>
    <mergeCell ref="A97:E97"/>
    <mergeCell ref="A4:E5"/>
    <mergeCell ref="A92:D92"/>
    <mergeCell ref="L88:S89"/>
    <mergeCell ref="A93:D93"/>
    <mergeCell ref="A85:D87"/>
    <mergeCell ref="L86:S87"/>
    <mergeCell ref="R16:R18"/>
    <mergeCell ref="M16:M18"/>
    <mergeCell ref="N16:N18"/>
    <mergeCell ref="Q16:Q18"/>
    <mergeCell ref="F16:F18"/>
    <mergeCell ref="A90:D90"/>
    <mergeCell ref="A94:D94"/>
    <mergeCell ref="AL1:AM1"/>
    <mergeCell ref="AK108:AP111"/>
    <mergeCell ref="AK82:AP85"/>
    <mergeCell ref="AK94:AP96"/>
    <mergeCell ref="AJ3:AP5"/>
    <mergeCell ref="AK18:AP21"/>
    <mergeCell ref="AK30:AP33"/>
    <mergeCell ref="AK119:AP122"/>
    <mergeCell ref="A91:D91"/>
    <mergeCell ref="AK7:AP10"/>
    <mergeCell ref="H16:H18"/>
    <mergeCell ref="I16:I18"/>
    <mergeCell ref="P84:S85"/>
    <mergeCell ref="P102:X106"/>
    <mergeCell ref="P91:S100"/>
    <mergeCell ref="A95:D95"/>
    <mergeCell ref="A84:E84"/>
    <mergeCell ref="A98:E113"/>
    <mergeCell ref="A88:D88"/>
    <mergeCell ref="A89:D89"/>
    <mergeCell ref="A12:C12"/>
    <mergeCell ref="S16:S18"/>
    <mergeCell ref="T16:T18"/>
  </mergeCells>
  <conditionalFormatting sqref="A44:A69 A19:A38">
    <cfRule type="iconSet" priority="13">
      <iconSet iconSet="3Flags" showValue="0">
        <cfvo type="num" val="-1"/>
        <cfvo type="num" val="0"/>
        <cfvo type="num" val="1"/>
      </iconSet>
    </cfRule>
  </conditionalFormatting>
  <conditionalFormatting sqref="A39">
    <cfRule type="iconSet" priority="3">
      <iconSet iconSet="3Flags" showValue="0">
        <cfvo type="num" val="-1"/>
        <cfvo type="num" val="0"/>
        <cfvo type="num" val="1"/>
      </iconSet>
    </cfRule>
  </conditionalFormatting>
  <conditionalFormatting sqref="A42:A43">
    <cfRule type="iconSet" priority="2">
      <iconSet iconSet="3Flags" showValue="0">
        <cfvo type="num" val="-1"/>
        <cfvo type="num" val="0"/>
        <cfvo type="num" val="1"/>
      </iconSet>
    </cfRule>
  </conditionalFormatting>
  <conditionalFormatting sqref="A17:A18">
    <cfRule type="iconSet" priority="1">
      <iconSet iconSet="3Flags" showValue="0">
        <cfvo type="num" val="-1"/>
        <cfvo type="num" val="0"/>
        <cfvo type="num" val="1"/>
      </iconSet>
    </cfRule>
  </conditionalFormatting>
  <dataValidations count="46">
    <dataValidation type="decimal" errorStyle="warning" allowBlank="1" showInputMessage="1" showErrorMessage="1" errorTitle="Use Rate Error" error="Must be between 0.1760 and 0.3520" sqref="S68:S69" xr:uid="{5207803C-B67B-48F1-8ECF-4FB31B97C6BC}">
      <formula1>0.176</formula1>
      <formula2>0.352</formula2>
    </dataValidation>
    <dataValidation type="decimal" errorStyle="warning" allowBlank="1" showInputMessage="1" showErrorMessage="1" errorTitle="Use Rate Error" error="Must be between 0.1770 and 0.3540" sqref="S67" xr:uid="{09F87793-6865-4086-8963-79999251B6F7}">
      <formula1>0.177</formula1>
      <formula2>0.354</formula2>
    </dataValidation>
    <dataValidation type="decimal" errorStyle="warning" allowBlank="1" showInputMessage="1" showErrorMessage="1" errorTitle="Use Rate Error" error="Must be between 0.1380 and 0.2750" sqref="S65:S66" xr:uid="{CBF86ED4-83D8-4E3A-A6AE-D3C5EEA1E48A}">
      <formula1>0.138</formula1>
      <formula2>0.275</formula2>
    </dataValidation>
    <dataValidation type="decimal" errorStyle="warning" allowBlank="1" showInputMessage="1" showErrorMessage="1" errorTitle="Use Rate Error" error="Must be between 16.0000 and 16.0000" sqref="S64" xr:uid="{65ACF8E8-9A51-4E7C-8E21-1198D473167C}">
      <formula1>16</formula1>
      <formula2>16</formula2>
    </dataValidation>
    <dataValidation type="decimal" errorStyle="warning" allowBlank="1" showInputMessage="1" showErrorMessage="1" errorTitle="Use Rate Error" error="Must be between 5.3300 and 10.6700" sqref="S63" xr:uid="{A083F62A-54AE-4721-B7AD-3D9EF9A688FA}">
      <formula1>5.33</formula1>
      <formula2>10.67</formula2>
    </dataValidation>
    <dataValidation type="decimal" errorStyle="warning" allowBlank="1" showInputMessage="1" showErrorMessage="1" errorTitle="Use Rate Error" error="Must be between 2.0000 and 10.0000" sqref="S62" xr:uid="{24AF850C-9C1B-4FAD-BCD0-51031AE2E7C9}">
      <formula1>2</formula1>
      <formula2>10</formula2>
    </dataValidation>
    <dataValidation type="decimal" errorStyle="warning" allowBlank="1" showInputMessage="1" showErrorMessage="1" errorTitle="Use Rate Error" error="Must be between 5.0000 and 5.0000" sqref="S60" xr:uid="{58BAB2DB-0689-48FF-99B1-EE167EEB766F}">
      <formula1>5</formula1>
      <formula2>5</formula2>
    </dataValidation>
    <dataValidation type="decimal" errorStyle="warning" allowBlank="1" showInputMessage="1" showErrorMessage="1" errorTitle="Use Rate Error" error="Must be between 1.0000 and 4.5000" sqref="S59" xr:uid="{C7198272-BCF7-4B7B-9C36-098746D220DF}">
      <formula1>1</formula1>
      <formula2>4.5</formula2>
    </dataValidation>
    <dataValidation type="decimal" errorStyle="warning" allowBlank="1" showInputMessage="1" showErrorMessage="1" errorTitle="Use Rate Error" error="Must be between 0.4600 and 0.6000" sqref="S57" xr:uid="{7DE3B5D2-A5EB-44D0-8574-BA57BF5114E2}">
      <formula1>0.46</formula1>
      <formula2>0.6</formula2>
    </dataValidation>
    <dataValidation type="decimal" errorStyle="warning" allowBlank="1" showInputMessage="1" showErrorMessage="1" errorTitle="Use Rate Error" error="Must be between 1.4000 and 1.8000" sqref="S56" xr:uid="{7C07ED45-AE11-4661-9150-29BE90357159}">
      <formula1>1.4</formula1>
      <formula2>1.8</formula2>
    </dataValidation>
    <dataValidation type="decimal" errorStyle="warning" allowBlank="1" showInputMessage="1" showErrorMessage="1" errorTitle="Use Rate Error" error="Must be between 0.0320 and 0.0900" sqref="S55" xr:uid="{4AD35BCA-189B-4DCB-AD61-51282884327C}">
      <formula1>0.032</formula1>
      <formula2>0.09</formula2>
    </dataValidation>
    <dataValidation type="decimal" errorStyle="warning" allowBlank="1" showInputMessage="1" showErrorMessage="1" errorTitle="Use Rate Error" error="Must be between 2.0000 and 3.0000" sqref="S54" xr:uid="{58213699-FC6B-4EEC-BCD8-0F32460D1173}">
      <formula1>2</formula1>
      <formula2>3</formula2>
    </dataValidation>
    <dataValidation type="decimal" errorStyle="warning" allowBlank="1" showInputMessage="1" showErrorMessage="1" errorTitle="Use Rate Error" error="Must be between 4.6000 and 6.9000" sqref="S53" xr:uid="{48D9F91C-B7E3-4E84-8E04-7FCE30B93720}">
      <formula1>4.6</formula1>
      <formula2>6.9</formula2>
    </dataValidation>
    <dataValidation type="decimal" errorStyle="warning" allowBlank="1" showInputMessage="1" showErrorMessage="1" errorTitle="Use Rate Error" error="Must be between 0.1000 and 0.2500" sqref="S51" xr:uid="{FD9A06C7-80A9-422A-BE1D-58F9742686AA}">
      <formula1>0.1</formula1>
      <formula2>0.25</formula2>
    </dataValidation>
    <dataValidation type="decimal" errorStyle="warning" allowBlank="1" showInputMessage="1" showErrorMessage="1" errorTitle="Use Rate Error" error="Must be between 0.7500 and 6.0000" sqref="S50" xr:uid="{9602631E-C472-4C38-BC7F-E9789BAAB8E2}">
      <formula1>0.75</formula1>
      <formula2>6</formula2>
    </dataValidation>
    <dataValidation type="decimal" errorStyle="warning" allowBlank="1" showInputMessage="1" showErrorMessage="1" errorTitle="Use Rate Error" error="Must be between 0.6000 and 1.5000" sqref="S47" xr:uid="{57D40137-F4A7-449E-9826-DCDAAA3A6E04}">
      <formula1>0.6</formula1>
      <formula2>1.5</formula2>
    </dataValidation>
    <dataValidation type="decimal" errorStyle="warning" allowBlank="1" showInputMessage="1" showErrorMessage="1" errorTitle="Use Rate Error" error="Must be between 0.0800 and 0.9000" sqref="S45:S46" xr:uid="{1ABD31EF-E3DB-4F09-A0C3-27F2982E770C}">
      <formula1>0.08</formula1>
      <formula2>0.9</formula2>
    </dataValidation>
    <dataValidation type="decimal" errorStyle="warning" allowBlank="1" showInputMessage="1" showErrorMessage="1" errorTitle="Use Rate Error" error="Must be between 2.0000 and 8.0000" sqref="S44 S48:S49" xr:uid="{B1B9AD71-A881-45F2-A9FA-8D23C3339A83}">
      <formula1>2</formula1>
      <formula2>8</formula2>
    </dataValidation>
    <dataValidation type="decimal" errorStyle="warning" allowBlank="1" showInputMessage="1" showErrorMessage="1" errorTitle="Use Rate Error" error="Must be between 2.0000 and 2.0000" sqref="S69" xr:uid="{E725DD48-AFFA-473F-BC97-0D0EF460FA61}">
      <formula1>2</formula1>
      <formula2>2</formula2>
    </dataValidation>
    <dataValidation type="decimal" errorStyle="warning" allowBlank="1" showInputMessage="1" showErrorMessage="1" errorTitle="Use Rate Error" error="Must be between 0.3670 and 0.7350" sqref="S38" xr:uid="{C821B80C-EC73-41FD-90F4-FDC31FAC9B41}">
      <formula1>0.367</formula1>
      <formula2>0.735</formula2>
    </dataValidation>
    <dataValidation type="decimal" errorStyle="warning" allowBlank="1" showInputMessage="1" showErrorMessage="1" errorTitle="Use Rate Error" error="Must be between 2.3000 and 4.6000" sqref="S37" xr:uid="{58247470-9100-4A41-875A-63929B11DCCA}">
      <formula1>2.3</formula1>
      <formula2>4.6</formula2>
    </dataValidation>
    <dataValidation type="whole" allowBlank="1" showInputMessage="1" showErrorMessage="1" errorTitle="# Units Error" error="Must be 26 or greater." sqref="E36" xr:uid="{D0355857-37E2-4050-860B-0FD1D64CAFA7}">
      <formula1>26</formula1>
      <formula2>9999999</formula2>
    </dataValidation>
    <dataValidation type="whole" allowBlank="1" showInputMessage="1" showErrorMessage="1" errorTitle="# Units Error" error="Must be between 14 and 25" sqref="E35" xr:uid="{81A05026-A6E5-414E-9AD4-D1F06243C247}">
      <formula1>14</formula1>
      <formula2>25</formula2>
    </dataValidation>
    <dataValidation type="whole" allowBlank="1" showInputMessage="1" showErrorMessage="1" errorTitle="# Units Error" error="Must be between 1 and 13" sqref="E34" xr:uid="{BF2CBB88-9BF0-43AA-AE6C-622C7C2E77F8}">
      <formula1>1</formula1>
      <formula2>13</formula2>
    </dataValidation>
    <dataValidation type="whole" allowBlank="1" showInputMessage="1" showErrorMessage="1" errorTitle="# Units Error" error="Must be 24 or greater." sqref="E33" xr:uid="{1DF7116A-3E33-4B8C-A6DE-039A5576B2AC}">
      <formula1>24</formula1>
      <formula2>9999999</formula2>
    </dataValidation>
    <dataValidation type="decimal" errorStyle="warning" allowBlank="1" showInputMessage="1" showErrorMessage="1" errorTitle="Use Rate Error" error="Must be between 2.0000 and 6.0000" sqref="S32:S33" xr:uid="{CDED843A-75A4-414A-8250-F5074E295B9D}">
      <formula1>2</formula1>
      <formula2>6</formula2>
    </dataValidation>
    <dataValidation type="whole" allowBlank="1" showInputMessage="1" showErrorMessage="1" errorTitle="# Units Error" error="Must be between 1 and 23" sqref="E32" xr:uid="{9C4CA5B4-0DD8-4ADC-BD5A-D04A70AD517F}">
      <formula1>1</formula1>
      <formula2>23</formula2>
    </dataValidation>
    <dataValidation type="decimal" errorStyle="warning" allowBlank="1" showInputMessage="1" showErrorMessage="1" errorTitle="Use Rate Error" error="Must be between 0.1000 and 0.8000" sqref="S31 S61" xr:uid="{BB1DF8EA-BFBD-4041-931D-A253E079A7BE}">
      <formula1>0.1</formula1>
      <formula2>0.8</formula2>
    </dataValidation>
    <dataValidation type="decimal" errorStyle="warning" allowBlank="1" showInputMessage="1" showErrorMessage="1" errorTitle="Use Rate Error" error="Must be between 1.0000 and 2.0000" sqref="S30" xr:uid="{88A8AF1F-5E86-4905-9848-96435BFEF830}">
      <formula1>1</formula1>
      <formula2>2</formula2>
    </dataValidation>
    <dataValidation type="decimal" errorStyle="warning" allowBlank="1" showInputMessage="1" showErrorMessage="1" errorTitle="Use Rate Error" error="Must be between 0.1470 and 0.1970" sqref="S58" xr:uid="{70C0D5A8-97C9-4944-9B85-DD8B8F113A41}">
      <formula1>0.147</formula1>
      <formula2>0.197</formula2>
    </dataValidation>
    <dataValidation type="decimal" errorStyle="warning" allowBlank="1" showInputMessage="1" showErrorMessage="1" errorTitle="Use Rate Error" error="Must be between 2.0000 and 7.0000" sqref="S28:S29" xr:uid="{9EDC1996-F2C3-496F-A1BE-7C6D218C0339}">
      <formula1>2</formula1>
      <formula2>7</formula2>
    </dataValidation>
    <dataValidation type="whole" allowBlank="1" showInputMessage="1" showErrorMessage="1" errorTitle="# Units Error" error="Must be 6 or greater." sqref="E27 E29" xr:uid="{D2021516-0CB9-4888-9CB3-6C00459673A7}">
      <formula1>6</formula1>
      <formula2>9999999</formula2>
    </dataValidation>
    <dataValidation type="decimal" errorStyle="warning" allowBlank="1" showInputMessage="1" showErrorMessage="1" errorTitle="Use Rate Error" error="Must be between 0.1950 and 0.3900" sqref="S26:S27" xr:uid="{3872BCF0-F237-4D36-9F36-F3BDA5B5AA9F}">
      <formula1>0.195</formula1>
      <formula2>0.39</formula2>
    </dataValidation>
    <dataValidation type="whole" allowBlank="1" showInputMessage="1" showErrorMessage="1" errorTitle="# Units Error" error="Must be between 1 and 5" sqref="E26 E28" xr:uid="{03F72A04-5A78-4E06-B703-6FF6815CB70D}">
      <formula1>1</formula1>
      <formula2>5</formula2>
    </dataValidation>
    <dataValidation type="decimal" errorStyle="warning" allowBlank="1" showInputMessage="1" showErrorMessage="1" errorTitle="Use Rate Error" error="Must be between 0.1950 and 0.1950" sqref="S25" xr:uid="{7892C990-22D7-4868-8119-BE4C796948BB}">
      <formula1>0.196</formula1>
      <formula2>0.196</formula2>
    </dataValidation>
    <dataValidation type="whole" allowBlank="1" showInputMessage="1" showErrorMessage="1" errorTitle="# Units Error" error="Must be 3 or greater." sqref="E22" xr:uid="{54FAC7B4-90E9-4BF8-8F9E-378E25CE2539}">
      <formula1>3</formula1>
      <formula2>9999999</formula2>
    </dataValidation>
    <dataValidation type="decimal" errorStyle="warning" allowBlank="1" showInputMessage="1" showErrorMessage="1" errorTitle="Use Rate Error" error="Must be between 4.0000 and 8.0000" sqref="S21:S24" xr:uid="{E3F70F0C-D0B8-4F56-A2A4-A821DFD77ACD}">
      <formula1>4</formula1>
      <formula2>8</formula2>
    </dataValidation>
    <dataValidation type="whole" allowBlank="1" showInputMessage="1" showErrorMessage="1" errorTitle="# Units Error" error="Must be between 1 and 2" sqref="E21" xr:uid="{7DEC84CF-CE7A-437F-836D-CC68831F7841}">
      <formula1>1</formula1>
      <formula2>2</formula2>
    </dataValidation>
    <dataValidation type="decimal" errorStyle="warning" allowBlank="1" showInputMessage="1" showErrorMessage="1" errorTitle="Use Rate Error" error="Must be between 0.1150 and 0.2300" sqref="S20" xr:uid="{A98E9A81-BD29-4F7E-A1A1-71BF478A29D0}">
      <formula1>0.115</formula1>
      <formula2>0.23</formula2>
    </dataValidation>
    <dataValidation type="decimal" errorStyle="warning" allowBlank="1" showInputMessage="1" showErrorMessage="1" errorTitle="Use Rate Error" error="Must be between 1.3000 and 4.0000" sqref="S19" xr:uid="{BF8744CE-8280-4218-8746-0FCFF4C78773}">
      <formula1>1.3</formula1>
      <formula2>4</formula2>
    </dataValidation>
    <dataValidation type="whole" allowBlank="1" showInputMessage="1" showErrorMessage="1" errorTitle="# Units Error" error="Must be greater than 1." sqref="E19 E39 E44:E69 E30:E31 E37" xr:uid="{9CDC1CD1-83F6-4C4A-A91B-750E1E0CF46F}">
      <formula1>1</formula1>
      <formula2>9999999</formula2>
    </dataValidation>
    <dataValidation type="whole" allowBlank="1" showInputMessage="1" showErrorMessage="1" errorTitle="# Units Error" error="Must be greater than 1." sqref="E20 E25 E38" xr:uid="{00A07C0E-DDCA-4B5A-87D2-FBF695A8D5A9}">
      <formula1>1</formula1>
      <formula2>999999</formula2>
    </dataValidation>
    <dataValidation type="decimal" errorStyle="warning" allowBlank="1" showInputMessage="1" showErrorMessage="1" errorTitle="Use Rate Error" error="Must be between 0.0230 and 0.0730" sqref="S39" xr:uid="{FDC27277-1049-421E-9432-D5AF1E4F6799}">
      <formula1>0.023</formula1>
      <formula2>0.073</formula2>
    </dataValidation>
    <dataValidation type="decimal" errorStyle="warning" allowBlank="1" showInputMessage="1" showErrorMessage="1" errorTitle="Use Rate Error" error="Must be between 0.0680 and 0.2300" sqref="S34:S36" xr:uid="{B9C63187-6952-4C92-83B8-08B33A5B2CD2}">
      <formula1>0.068</formula1>
      <formula2>0.23</formula2>
    </dataValidation>
    <dataValidation type="whole" allowBlank="1" showInputMessage="1" showErrorMessage="1" errorTitle="# Units Error" error="Must be 8 or fewer." sqref="E23" xr:uid="{E9AD8881-8327-40DA-A9E1-17702B6E77D4}">
      <formula1>0</formula1>
      <formula2>8</formula2>
    </dataValidation>
    <dataValidation type="whole" allowBlank="1" showInputMessage="1" showErrorMessage="1" errorTitle="# Units Error" error="Must be 9 or greater." sqref="E24" xr:uid="{930EF682-1B90-46B0-A3F8-855E30C31153}">
      <formula1>9</formula1>
      <formula2>9999999</formula2>
    </dataValidation>
  </dataValidations>
  <pageMargins left="0.75" right="0.75" top="0.75" bottom="0.5" header="0.5" footer="0.75"/>
  <pageSetup scale="60" orientation="landscape" horizontalDpi="1200" verticalDpi="1200" r:id="rId1"/>
  <customProperties>
    <customPr name="Ibp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B7FE97-88E8-4F7C-B1FA-FECF8C97754E}">
          <x14:formula1>
            <xm:f>Rebates!$B$25:$B$26</xm:f>
          </x14:formula1>
          <xm:sqref>L88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6625-3F39-4416-A4F0-7E89DF0CEA10}">
  <sheetPr codeName="Sheet2"/>
  <dimension ref="A1:ER92"/>
  <sheetViews>
    <sheetView zoomScaleNormal="100" workbookViewId="0">
      <selection activeCell="J21" sqref="J21"/>
    </sheetView>
  </sheetViews>
  <sheetFormatPr defaultRowHeight="14.5" x14ac:dyDescent="0.35"/>
  <cols>
    <col min="1" max="1" width="31.54296875" customWidth="1"/>
    <col min="2" max="2" width="13.1796875" customWidth="1"/>
    <col min="3" max="3" width="7.1796875" style="88" customWidth="1"/>
    <col min="4" max="4" width="10.453125" customWidth="1"/>
    <col min="5" max="6" width="14.1796875" customWidth="1"/>
    <col min="7" max="148" width="8.7265625" style="177"/>
  </cols>
  <sheetData>
    <row r="1" spans="1:6" ht="15" thickBot="1" x14ac:dyDescent="0.4">
      <c r="A1" s="141"/>
      <c r="B1" s="141"/>
      <c r="C1" s="141"/>
      <c r="D1" s="141"/>
      <c r="E1" s="142"/>
      <c r="F1" s="139"/>
    </row>
    <row r="2" spans="1:6" ht="21.5" thickBot="1" x14ac:dyDescent="0.4">
      <c r="A2" s="356" t="str">
        <f>'NOW-CALCULATOR'!A4</f>
        <v>NAME YOUR DRAFT ORDER HERE</v>
      </c>
      <c r="B2" s="357"/>
      <c r="C2" s="357"/>
      <c r="D2" s="358"/>
      <c r="E2" s="142"/>
      <c r="F2" s="139"/>
    </row>
    <row r="3" spans="1:6" x14ac:dyDescent="0.35">
      <c r="A3" s="231" t="s">
        <v>4</v>
      </c>
      <c r="B3" s="272">
        <f>'NOW-CALCULATOR'!C6</f>
        <v>0</v>
      </c>
      <c r="C3" s="232"/>
      <c r="D3" s="233"/>
      <c r="E3" s="142"/>
      <c r="F3" s="139"/>
    </row>
    <row r="4" spans="1:6" x14ac:dyDescent="0.35">
      <c r="A4" s="227" t="s">
        <v>6</v>
      </c>
      <c r="B4" s="273">
        <f>'NOW-CALCULATOR'!C7</f>
        <v>0</v>
      </c>
      <c r="C4" s="161"/>
      <c r="D4" s="162"/>
      <c r="E4" s="142"/>
      <c r="F4" s="139"/>
    </row>
    <row r="5" spans="1:6" x14ac:dyDescent="0.35">
      <c r="A5" s="228" t="s">
        <v>7</v>
      </c>
      <c r="B5" s="273">
        <f>'NOW-CALCULATOR'!C8</f>
        <v>0</v>
      </c>
      <c r="C5" s="161"/>
      <c r="D5" s="162"/>
      <c r="E5" s="142"/>
      <c r="F5" s="139"/>
    </row>
    <row r="6" spans="1:6" x14ac:dyDescent="0.35">
      <c r="A6" s="229" t="s">
        <v>8</v>
      </c>
      <c r="B6" s="274">
        <f>'NOW-CALCULATOR'!C9</f>
        <v>0</v>
      </c>
      <c r="C6" s="161"/>
      <c r="D6" s="162"/>
      <c r="E6" s="142"/>
      <c r="F6" s="139"/>
    </row>
    <row r="7" spans="1:6" ht="15" thickBot="1" x14ac:dyDescent="0.4">
      <c r="A7" s="230" t="s">
        <v>9</v>
      </c>
      <c r="B7" s="275">
        <f>'NOW-CALCULATOR'!C10</f>
        <v>0</v>
      </c>
      <c r="C7" s="163"/>
      <c r="D7" s="164"/>
      <c r="E7" s="142"/>
      <c r="F7" s="139"/>
    </row>
    <row r="8" spans="1:6" x14ac:dyDescent="0.35">
      <c r="A8" s="139" t="s">
        <v>218</v>
      </c>
      <c r="B8" s="139"/>
      <c r="C8" s="140"/>
      <c r="D8" s="139"/>
      <c r="E8" s="139"/>
      <c r="F8" s="139"/>
    </row>
    <row r="9" spans="1:6" x14ac:dyDescent="0.35">
      <c r="A9" s="204" t="s">
        <v>18</v>
      </c>
      <c r="B9" s="13"/>
      <c r="C9" s="137"/>
      <c r="D9" s="13"/>
      <c r="E9" s="13"/>
      <c r="F9" s="13"/>
    </row>
    <row r="10" spans="1:6" x14ac:dyDescent="0.35">
      <c r="A10" s="347" t="s">
        <v>22</v>
      </c>
      <c r="B10" s="347" t="s">
        <v>13</v>
      </c>
      <c r="C10" s="366" t="s">
        <v>14</v>
      </c>
      <c r="D10" s="297" t="s">
        <v>25</v>
      </c>
      <c r="E10" s="297" t="s">
        <v>26</v>
      </c>
      <c r="F10" s="297" t="s">
        <v>29</v>
      </c>
    </row>
    <row r="11" spans="1:6" x14ac:dyDescent="0.35">
      <c r="A11" s="342"/>
      <c r="B11" s="342"/>
      <c r="C11" s="367"/>
      <c r="D11" s="298"/>
      <c r="E11" s="298"/>
      <c r="F11" s="298"/>
    </row>
    <row r="12" spans="1:6" x14ac:dyDescent="0.35">
      <c r="A12" s="342"/>
      <c r="B12" s="342"/>
      <c r="C12" s="367"/>
      <c r="D12" s="298"/>
      <c r="E12" s="298"/>
      <c r="F12" s="298"/>
    </row>
    <row r="13" spans="1:6" x14ac:dyDescent="0.35">
      <c r="A13" s="20" t="s">
        <v>51</v>
      </c>
      <c r="B13" s="20" t="s">
        <v>52</v>
      </c>
      <c r="C13" s="168">
        <f>'NOW-CALCULATOR'!E19</f>
        <v>0</v>
      </c>
      <c r="D13" s="112">
        <v>1114.3800000000001</v>
      </c>
      <c r="E13" s="22" t="str">
        <f>'NOW-CALCULATOR'!M19</f>
        <v/>
      </c>
      <c r="F13" s="22" t="str">
        <f>'NOW-CALCULATOR'!P19</f>
        <v/>
      </c>
    </row>
    <row r="14" spans="1:6" x14ac:dyDescent="0.35">
      <c r="A14" s="20" t="s">
        <v>57</v>
      </c>
      <c r="B14" s="20" t="s">
        <v>19</v>
      </c>
      <c r="C14" s="168">
        <f>'NOW-CALCULATOR'!E20</f>
        <v>0</v>
      </c>
      <c r="D14" s="112">
        <v>155.5</v>
      </c>
      <c r="E14" s="22" t="str">
        <f>'NOW-CALCULATOR'!M20</f>
        <v/>
      </c>
      <c r="F14" s="22" t="str">
        <f>'NOW-CALCULATOR'!P20</f>
        <v/>
      </c>
    </row>
    <row r="15" spans="1:6" x14ac:dyDescent="0.35">
      <c r="A15" s="20" t="s">
        <v>61</v>
      </c>
      <c r="B15" s="20" t="s">
        <v>62</v>
      </c>
      <c r="C15" s="168">
        <f>'NOW-CALCULATOR'!E21</f>
        <v>0</v>
      </c>
      <c r="D15" s="112">
        <v>1439.75</v>
      </c>
      <c r="E15" s="22" t="str">
        <f>'NOW-CALCULATOR'!M21</f>
        <v/>
      </c>
      <c r="F15" s="22" t="str">
        <f>'NOW-CALCULATOR'!P21</f>
        <v/>
      </c>
    </row>
    <row r="16" spans="1:6" x14ac:dyDescent="0.35">
      <c r="A16" s="20" t="s">
        <v>63</v>
      </c>
      <c r="B16" s="20" t="s">
        <v>62</v>
      </c>
      <c r="C16" s="168">
        <f>'NOW-CALCULATOR'!E22</f>
        <v>0</v>
      </c>
      <c r="D16" s="112">
        <v>1354</v>
      </c>
      <c r="E16" s="22" t="str">
        <f>'NOW-CALCULATOR'!M22</f>
        <v/>
      </c>
      <c r="F16" s="22" t="str">
        <f>'NOW-CALCULATOR'!P22</f>
        <v/>
      </c>
    </row>
    <row r="17" spans="1:6" x14ac:dyDescent="0.35">
      <c r="A17" s="104" t="s">
        <v>64</v>
      </c>
      <c r="B17" s="20" t="s">
        <v>65</v>
      </c>
      <c r="C17" s="168">
        <f>'NOW-CALCULATOR'!E23</f>
        <v>0</v>
      </c>
      <c r="D17" s="112">
        <v>359.94</v>
      </c>
      <c r="E17" s="22" t="str">
        <f>'NOW-CALCULATOR'!M23</f>
        <v/>
      </c>
      <c r="F17" s="22" t="str">
        <f>'NOW-CALCULATOR'!P23</f>
        <v/>
      </c>
    </row>
    <row r="18" spans="1:6" x14ac:dyDescent="0.35">
      <c r="A18" s="104" t="s">
        <v>66</v>
      </c>
      <c r="B18" s="20" t="s">
        <v>65</v>
      </c>
      <c r="C18" s="168">
        <f>'NOW-CALCULATOR'!E24</f>
        <v>0</v>
      </c>
      <c r="D18" s="112">
        <v>338.5</v>
      </c>
      <c r="E18" s="22" t="str">
        <f>'NOW-CALCULATOR'!M24</f>
        <v/>
      </c>
      <c r="F18" s="22" t="str">
        <f>'NOW-CALCULATOR'!P24</f>
        <v/>
      </c>
    </row>
    <row r="19" spans="1:6" x14ac:dyDescent="0.35">
      <c r="A19" s="20" t="s">
        <v>68</v>
      </c>
      <c r="B19" s="20" t="s">
        <v>69</v>
      </c>
      <c r="C19" s="168">
        <f>'NOW-CALCULATOR'!E25</f>
        <v>0</v>
      </c>
      <c r="D19" s="112">
        <v>673.2</v>
      </c>
      <c r="E19" s="22" t="str">
        <f>'NOW-CALCULATOR'!M25</f>
        <v/>
      </c>
      <c r="F19" s="22" t="str">
        <f>'NOW-CALCULATOR'!P25</f>
        <v/>
      </c>
    </row>
    <row r="20" spans="1:6" x14ac:dyDescent="0.35">
      <c r="A20" s="20" t="s">
        <v>79</v>
      </c>
      <c r="B20" s="20" t="s">
        <v>80</v>
      </c>
      <c r="C20" s="168">
        <f>'NOW-CALCULATOR'!E26</f>
        <v>0</v>
      </c>
      <c r="D20" s="112">
        <v>1778</v>
      </c>
      <c r="E20" s="22" t="str">
        <f>'NOW-CALCULATOR'!M26</f>
        <v/>
      </c>
      <c r="F20" s="22" t="str">
        <f>'NOW-CALCULATOR'!P26</f>
        <v/>
      </c>
    </row>
    <row r="21" spans="1:6" x14ac:dyDescent="0.35">
      <c r="A21" s="20" t="s">
        <v>81</v>
      </c>
      <c r="B21" s="20" t="s">
        <v>80</v>
      </c>
      <c r="C21" s="168">
        <f>'NOW-CALCULATOR'!E27</f>
        <v>0</v>
      </c>
      <c r="D21" s="112">
        <v>1601</v>
      </c>
      <c r="E21" s="22" t="str">
        <f>'NOW-CALCULATOR'!M27</f>
        <v/>
      </c>
      <c r="F21" s="22" t="str">
        <f>'NOW-CALCULATOR'!P27</f>
        <v/>
      </c>
    </row>
    <row r="22" spans="1:6" x14ac:dyDescent="0.35">
      <c r="A22" s="20" t="s">
        <v>83</v>
      </c>
      <c r="B22" s="20" t="s">
        <v>52</v>
      </c>
      <c r="C22" s="168">
        <f>'NOW-CALCULATOR'!E28</f>
        <v>0</v>
      </c>
      <c r="D22" s="175">
        <v>508.75</v>
      </c>
      <c r="E22" s="22" t="str">
        <f>'NOW-CALCULATOR'!M28</f>
        <v/>
      </c>
      <c r="F22" s="22" t="str">
        <f>'NOW-CALCULATOR'!P28</f>
        <v/>
      </c>
    </row>
    <row r="23" spans="1:6" x14ac:dyDescent="0.35">
      <c r="A23" s="20" t="s">
        <v>85</v>
      </c>
      <c r="B23" s="20" t="s">
        <v>52</v>
      </c>
      <c r="C23" s="168">
        <f>'NOW-CALCULATOR'!E29</f>
        <v>0</v>
      </c>
      <c r="D23" s="112">
        <v>447.5</v>
      </c>
      <c r="E23" s="22" t="str">
        <f>'NOW-CALCULATOR'!M29</f>
        <v/>
      </c>
      <c r="F23" s="22" t="str">
        <f>'NOW-CALCULATOR'!P29</f>
        <v/>
      </c>
    </row>
    <row r="24" spans="1:6" x14ac:dyDescent="0.35">
      <c r="A24" s="20" t="s">
        <v>91</v>
      </c>
      <c r="B24" s="20" t="s">
        <v>52</v>
      </c>
      <c r="C24" s="168">
        <f>'NOW-CALCULATOR'!E30</f>
        <v>0</v>
      </c>
      <c r="D24" s="112">
        <v>444.75</v>
      </c>
      <c r="E24" s="22" t="str">
        <f>'NOW-CALCULATOR'!M30</f>
        <v/>
      </c>
      <c r="F24" s="22" t="str">
        <f>'NOW-CALCULATOR'!P30</f>
        <v/>
      </c>
    </row>
    <row r="25" spans="1:6" x14ac:dyDescent="0.35">
      <c r="A25" s="20" t="s">
        <v>94</v>
      </c>
      <c r="B25" s="20" t="s">
        <v>95</v>
      </c>
      <c r="C25" s="168">
        <f>'NOW-CALCULATOR'!E31</f>
        <v>0</v>
      </c>
      <c r="D25" s="112">
        <v>674.25</v>
      </c>
      <c r="E25" s="22" t="str">
        <f>'NOW-CALCULATOR'!M31</f>
        <v/>
      </c>
      <c r="F25" s="22" t="str">
        <f>'NOW-CALCULATOR'!P31</f>
        <v/>
      </c>
    </row>
    <row r="26" spans="1:6" x14ac:dyDescent="0.35">
      <c r="A26" s="20" t="s">
        <v>99</v>
      </c>
      <c r="B26" s="20" t="s">
        <v>100</v>
      </c>
      <c r="C26" s="168">
        <f>'NOW-CALCULATOR'!E32</f>
        <v>0</v>
      </c>
      <c r="D26" s="112">
        <v>190.25</v>
      </c>
      <c r="E26" s="22" t="str">
        <f>'NOW-CALCULATOR'!M32</f>
        <v/>
      </c>
      <c r="F26" s="22" t="str">
        <f>'NOW-CALCULATOR'!P32</f>
        <v/>
      </c>
    </row>
    <row r="27" spans="1:6" x14ac:dyDescent="0.35">
      <c r="A27" s="20" t="s">
        <v>105</v>
      </c>
      <c r="B27" s="20" t="s">
        <v>100</v>
      </c>
      <c r="C27" s="168">
        <f>'NOW-CALCULATOR'!E33</f>
        <v>0</v>
      </c>
      <c r="D27" s="112">
        <v>174</v>
      </c>
      <c r="E27" s="22" t="str">
        <f>'NOW-CALCULATOR'!M33</f>
        <v/>
      </c>
      <c r="F27" s="22" t="str">
        <f>'NOW-CALCULATOR'!P33</f>
        <v/>
      </c>
    </row>
    <row r="28" spans="1:6" x14ac:dyDescent="0.35">
      <c r="A28" s="104" t="s">
        <v>107</v>
      </c>
      <c r="B28" s="104" t="s">
        <v>97</v>
      </c>
      <c r="C28" s="168">
        <f>'NOW-CALCULATOR'!E34</f>
        <v>0</v>
      </c>
      <c r="D28" s="112">
        <v>1898.25</v>
      </c>
      <c r="E28" s="22" t="str">
        <f>'NOW-CALCULATOR'!M34</f>
        <v/>
      </c>
      <c r="F28" s="22" t="str">
        <f>'NOW-CALCULATOR'!P34</f>
        <v/>
      </c>
    </row>
    <row r="29" spans="1:6" x14ac:dyDescent="0.35">
      <c r="A29" s="104" t="s">
        <v>108</v>
      </c>
      <c r="B29" s="104" t="s">
        <v>97</v>
      </c>
      <c r="C29" s="168">
        <f>'NOW-CALCULATOR'!E35</f>
        <v>0</v>
      </c>
      <c r="D29" s="112">
        <v>1629.4</v>
      </c>
      <c r="E29" s="22" t="str">
        <f>'NOW-CALCULATOR'!M35</f>
        <v/>
      </c>
      <c r="F29" s="22" t="str">
        <f>'NOW-CALCULATOR'!P35</f>
        <v/>
      </c>
    </row>
    <row r="30" spans="1:6" x14ac:dyDescent="0.35">
      <c r="A30" s="104" t="s">
        <v>109</v>
      </c>
      <c r="B30" s="104" t="s">
        <v>97</v>
      </c>
      <c r="C30" s="168">
        <f>'NOW-CALCULATOR'!E36</f>
        <v>0</v>
      </c>
      <c r="D30" s="112">
        <v>1463.7</v>
      </c>
      <c r="E30" s="22" t="str">
        <f>'NOW-CALCULATOR'!M36</f>
        <v/>
      </c>
      <c r="F30" s="22" t="str">
        <f>'NOW-CALCULATOR'!P36</f>
        <v/>
      </c>
    </row>
    <row r="31" spans="1:6" x14ac:dyDescent="0.35">
      <c r="A31" s="20" t="s">
        <v>112</v>
      </c>
      <c r="B31" s="20" t="s">
        <v>113</v>
      </c>
      <c r="C31" s="168">
        <f>'NOW-CALCULATOR'!E37</f>
        <v>0</v>
      </c>
      <c r="D31" s="112">
        <v>110.5</v>
      </c>
      <c r="E31" s="22" t="str">
        <f>'NOW-CALCULATOR'!M37</f>
        <v/>
      </c>
      <c r="F31" s="22" t="str">
        <f>'NOW-CALCULATOR'!P37</f>
        <v/>
      </c>
    </row>
    <row r="32" spans="1:6" x14ac:dyDescent="0.35">
      <c r="A32" s="20" t="s">
        <v>119</v>
      </c>
      <c r="B32" s="20" t="s">
        <v>46</v>
      </c>
      <c r="C32" s="168">
        <f>'NOW-CALCULATOR'!E38</f>
        <v>0</v>
      </c>
      <c r="D32" s="112">
        <v>457</v>
      </c>
      <c r="E32" s="22" t="str">
        <f>'NOW-CALCULATOR'!M38</f>
        <v/>
      </c>
      <c r="F32" s="22" t="str">
        <f>'NOW-CALCULATOR'!P38</f>
        <v/>
      </c>
    </row>
    <row r="33" spans="1:6" x14ac:dyDescent="0.35">
      <c r="A33" s="20" t="s">
        <v>121</v>
      </c>
      <c r="B33" s="20" t="s">
        <v>103</v>
      </c>
      <c r="C33" s="168">
        <f>'NOW-CALCULATOR'!E39</f>
        <v>0</v>
      </c>
      <c r="D33" s="112">
        <v>389.7</v>
      </c>
      <c r="E33" s="22" t="str">
        <f>'NOW-CALCULATOR'!M39</f>
        <v/>
      </c>
      <c r="F33" s="22" t="str">
        <f>'NOW-CALCULATOR'!P39</f>
        <v/>
      </c>
    </row>
    <row r="34" spans="1:6" x14ac:dyDescent="0.35">
      <c r="A34" s="235"/>
      <c r="B34" s="235"/>
      <c r="C34" s="169">
        <f>SUM(C11:C33,C53:C79)</f>
        <v>0</v>
      </c>
      <c r="D34" s="236"/>
      <c r="E34" s="236">
        <f>SUM(E11:E33,E54:E79)</f>
        <v>0</v>
      </c>
      <c r="F34" s="236"/>
    </row>
    <row r="35" spans="1:6" ht="16" thickBot="1" x14ac:dyDescent="0.4">
      <c r="A35" s="365" t="s">
        <v>205</v>
      </c>
      <c r="B35" s="365"/>
      <c r="C35" s="365"/>
      <c r="D35" s="365"/>
      <c r="E35" s="365"/>
    </row>
    <row r="36" spans="1:6" ht="15" thickTop="1" x14ac:dyDescent="0.35">
      <c r="A36" s="359" t="s">
        <v>207</v>
      </c>
      <c r="B36" s="359"/>
      <c r="C36" s="359"/>
      <c r="D36" s="359"/>
      <c r="E36" s="359"/>
    </row>
    <row r="37" spans="1:6" x14ac:dyDescent="0.35">
      <c r="A37" s="360"/>
      <c r="B37" s="360"/>
      <c r="C37" s="360"/>
      <c r="D37" s="360"/>
      <c r="E37" s="360"/>
    </row>
    <row r="38" spans="1:6" x14ac:dyDescent="0.35">
      <c r="A38" s="361"/>
      <c r="B38" s="361"/>
      <c r="C38" s="361"/>
      <c r="D38" s="361"/>
      <c r="E38" s="361"/>
    </row>
    <row r="39" spans="1:6" x14ac:dyDescent="0.35">
      <c r="A39" s="350" t="s">
        <v>209</v>
      </c>
      <c r="B39" s="351"/>
      <c r="C39" s="351"/>
      <c r="D39" s="352"/>
      <c r="E39" s="53">
        <f>'NOW-CALCULATOR'!E88</f>
        <v>0</v>
      </c>
    </row>
    <row r="40" spans="1:6" x14ac:dyDescent="0.35">
      <c r="A40" s="362" t="s">
        <v>211</v>
      </c>
      <c r="B40" s="363"/>
      <c r="C40" s="363"/>
      <c r="D40" s="364"/>
      <c r="E40" s="55">
        <f>'NOW-CALCULATOR'!E89</f>
        <v>0</v>
      </c>
    </row>
    <row r="41" spans="1:6" x14ac:dyDescent="0.35">
      <c r="A41" s="350" t="s">
        <v>329</v>
      </c>
      <c r="B41" s="351"/>
      <c r="C41" s="351"/>
      <c r="D41" s="352"/>
      <c r="E41" s="53">
        <f>'NOW-CALCULATOR'!E90</f>
        <v>0</v>
      </c>
    </row>
    <row r="42" spans="1:6" x14ac:dyDescent="0.35">
      <c r="A42" s="362" t="s">
        <v>214</v>
      </c>
      <c r="B42" s="363"/>
      <c r="C42" s="363"/>
      <c r="D42" s="364"/>
      <c r="E42" s="55">
        <f>'NOW-CALCULATOR'!E92</f>
        <v>0</v>
      </c>
    </row>
    <row r="43" spans="1:6" x14ac:dyDescent="0.35">
      <c r="A43" s="350" t="s">
        <v>215</v>
      </c>
      <c r="B43" s="351"/>
      <c r="C43" s="351"/>
      <c r="D43" s="352"/>
      <c r="E43" s="53">
        <f>'NOW-CALCULATOR'!E93</f>
        <v>0</v>
      </c>
    </row>
    <row r="44" spans="1:6" x14ac:dyDescent="0.35">
      <c r="A44" s="362" t="s">
        <v>216</v>
      </c>
      <c r="B44" s="363"/>
      <c r="C44" s="363"/>
      <c r="D44" s="364"/>
      <c r="E44" s="138">
        <f>'NOW-CALCULATOR'!E94</f>
        <v>0</v>
      </c>
    </row>
    <row r="45" spans="1:6" x14ac:dyDescent="0.35">
      <c r="A45" s="350" t="s">
        <v>217</v>
      </c>
      <c r="B45" s="351"/>
      <c r="C45" s="351"/>
      <c r="D45" s="352"/>
      <c r="E45" s="59">
        <f>'NOW-CALCULATOR'!E96</f>
        <v>0</v>
      </c>
    </row>
    <row r="46" spans="1:6" ht="18.5" x14ac:dyDescent="0.35">
      <c r="A46" s="353" t="str">
        <f>CONCATENATE("Estimated MBR points to be earned in the Product Cart: ",TEXT(IF(AND(E42 &lt;&gt;"", E42 &gt; 0),E42*100, 0),"#,##0"))</f>
        <v>Estimated MBR points to be earned in the Product Cart: 0</v>
      </c>
      <c r="B46" s="354"/>
      <c r="C46" s="354"/>
      <c r="D46" s="354"/>
      <c r="E46" s="355"/>
    </row>
    <row r="47" spans="1:6" x14ac:dyDescent="0.35">
      <c r="F47" s="234"/>
    </row>
    <row r="48" spans="1:6" x14ac:dyDescent="0.35">
      <c r="A48" s="234"/>
      <c r="B48" s="234"/>
      <c r="D48" s="234"/>
      <c r="E48" s="234"/>
      <c r="F48" s="234"/>
    </row>
    <row r="49" spans="1:6" x14ac:dyDescent="0.35">
      <c r="A49" s="234"/>
      <c r="B49" s="234"/>
      <c r="D49" s="234"/>
      <c r="E49" s="234"/>
      <c r="F49" s="234"/>
    </row>
    <row r="50" spans="1:6" x14ac:dyDescent="0.35">
      <c r="A50" s="234"/>
      <c r="B50" s="234"/>
      <c r="D50" s="234"/>
      <c r="E50" s="234"/>
      <c r="F50" s="234"/>
    </row>
    <row r="51" spans="1:6" x14ac:dyDescent="0.35">
      <c r="A51" s="234"/>
      <c r="B51" s="234"/>
      <c r="D51" s="234"/>
      <c r="E51" s="234"/>
      <c r="F51" s="234"/>
    </row>
    <row r="52" spans="1:6" x14ac:dyDescent="0.35">
      <c r="A52" s="234"/>
      <c r="B52" s="234"/>
      <c r="D52" s="234"/>
      <c r="E52" s="234"/>
      <c r="F52" s="234"/>
    </row>
    <row r="53" spans="1:6" x14ac:dyDescent="0.35">
      <c r="A53" s="234"/>
      <c r="B53" s="234"/>
      <c r="D53" s="234"/>
      <c r="E53" s="234"/>
      <c r="F53" s="234"/>
    </row>
    <row r="54" spans="1:6" x14ac:dyDescent="0.35">
      <c r="A54" s="234"/>
      <c r="B54" s="234"/>
      <c r="D54" s="234"/>
      <c r="E54" s="234"/>
      <c r="F54" s="234"/>
    </row>
    <row r="55" spans="1:6" x14ac:dyDescent="0.35">
      <c r="A55" s="234"/>
      <c r="B55" s="234"/>
      <c r="D55" s="234"/>
      <c r="E55" s="234"/>
      <c r="F55" s="234"/>
    </row>
    <row r="56" spans="1:6" x14ac:dyDescent="0.35">
      <c r="A56" s="234"/>
      <c r="B56" s="234"/>
      <c r="D56" s="234"/>
      <c r="E56" s="234"/>
      <c r="F56" s="234"/>
    </row>
    <row r="57" spans="1:6" x14ac:dyDescent="0.35">
      <c r="A57" s="234"/>
      <c r="B57" s="234"/>
      <c r="D57" s="234"/>
      <c r="E57" s="234"/>
      <c r="F57" s="234"/>
    </row>
    <row r="58" spans="1:6" x14ac:dyDescent="0.35">
      <c r="A58" s="234"/>
      <c r="B58" s="234"/>
      <c r="D58" s="234"/>
      <c r="E58" s="234"/>
      <c r="F58" s="234"/>
    </row>
    <row r="59" spans="1:6" x14ac:dyDescent="0.35">
      <c r="A59" s="234"/>
      <c r="B59" s="234"/>
      <c r="D59" s="234"/>
      <c r="E59" s="234"/>
      <c r="F59" s="234"/>
    </row>
    <row r="60" spans="1:6" x14ac:dyDescent="0.35">
      <c r="A60" s="234"/>
      <c r="B60" s="234"/>
      <c r="D60" s="234"/>
      <c r="E60" s="234"/>
      <c r="F60" s="234"/>
    </row>
    <row r="61" spans="1:6" x14ac:dyDescent="0.35">
      <c r="A61" s="234"/>
      <c r="B61" s="234"/>
      <c r="D61" s="234"/>
      <c r="E61" s="234"/>
      <c r="F61" s="234"/>
    </row>
    <row r="62" spans="1:6" x14ac:dyDescent="0.35">
      <c r="A62" s="234"/>
      <c r="B62" s="234"/>
      <c r="D62" s="234"/>
      <c r="E62" s="234"/>
      <c r="F62" s="234"/>
    </row>
    <row r="63" spans="1:6" x14ac:dyDescent="0.35">
      <c r="A63" s="234"/>
      <c r="B63" s="234"/>
      <c r="D63" s="234"/>
      <c r="E63" s="234"/>
      <c r="F63" s="234"/>
    </row>
    <row r="64" spans="1:6" x14ac:dyDescent="0.35">
      <c r="A64" s="234"/>
      <c r="B64" s="234"/>
      <c r="D64" s="234"/>
      <c r="E64" s="234"/>
      <c r="F64" s="234"/>
    </row>
    <row r="65" spans="1:6" x14ac:dyDescent="0.35">
      <c r="A65" s="234"/>
      <c r="B65" s="234"/>
      <c r="D65" s="234"/>
      <c r="E65" s="234"/>
      <c r="F65" s="234"/>
    </row>
    <row r="66" spans="1:6" x14ac:dyDescent="0.35">
      <c r="A66" s="234"/>
      <c r="B66" s="234"/>
      <c r="D66" s="234"/>
      <c r="E66" s="234"/>
      <c r="F66" s="234"/>
    </row>
    <row r="67" spans="1:6" x14ac:dyDescent="0.35">
      <c r="A67" s="234"/>
      <c r="B67" s="234"/>
      <c r="D67" s="234"/>
      <c r="E67" s="234"/>
      <c r="F67" s="234"/>
    </row>
    <row r="68" spans="1:6" x14ac:dyDescent="0.35">
      <c r="A68" s="234"/>
      <c r="B68" s="234"/>
      <c r="D68" s="234"/>
      <c r="E68" s="234"/>
      <c r="F68" s="234"/>
    </row>
    <row r="69" spans="1:6" x14ac:dyDescent="0.35">
      <c r="A69" s="234"/>
      <c r="B69" s="234"/>
      <c r="D69" s="234"/>
      <c r="E69" s="234"/>
      <c r="F69" s="234"/>
    </row>
    <row r="70" spans="1:6" x14ac:dyDescent="0.35">
      <c r="A70" s="234"/>
      <c r="B70" s="234"/>
      <c r="D70" s="234"/>
      <c r="E70" s="234"/>
      <c r="F70" s="234"/>
    </row>
    <row r="71" spans="1:6" x14ac:dyDescent="0.35">
      <c r="A71" s="234"/>
      <c r="B71" s="234"/>
      <c r="D71" s="234"/>
      <c r="E71" s="234"/>
      <c r="F71" s="234"/>
    </row>
    <row r="72" spans="1:6" x14ac:dyDescent="0.35">
      <c r="A72" s="234"/>
      <c r="B72" s="234"/>
      <c r="D72" s="234"/>
      <c r="E72" s="234"/>
      <c r="F72" s="234"/>
    </row>
    <row r="73" spans="1:6" x14ac:dyDescent="0.35">
      <c r="A73" s="234"/>
      <c r="B73" s="234"/>
      <c r="D73" s="234"/>
      <c r="E73" s="234"/>
      <c r="F73" s="234"/>
    </row>
    <row r="74" spans="1:6" x14ac:dyDescent="0.35">
      <c r="A74" s="234"/>
      <c r="B74" s="234"/>
      <c r="D74" s="234"/>
      <c r="E74" s="234"/>
      <c r="F74" s="234"/>
    </row>
    <row r="75" spans="1:6" x14ac:dyDescent="0.35">
      <c r="A75" s="234"/>
      <c r="B75" s="234"/>
      <c r="D75" s="234"/>
      <c r="E75" s="234"/>
      <c r="F75" s="234"/>
    </row>
    <row r="76" spans="1:6" x14ac:dyDescent="0.35">
      <c r="A76" s="234"/>
      <c r="B76" s="234"/>
      <c r="D76" s="234"/>
      <c r="E76" s="234"/>
      <c r="F76" s="234"/>
    </row>
    <row r="77" spans="1:6" x14ac:dyDescent="0.35">
      <c r="A77" s="234"/>
      <c r="B77" s="234"/>
      <c r="D77" s="234"/>
      <c r="E77" s="234"/>
      <c r="F77" s="234"/>
    </row>
    <row r="78" spans="1:6" x14ac:dyDescent="0.35">
      <c r="A78" s="234"/>
      <c r="B78" s="234"/>
      <c r="D78" s="234"/>
      <c r="E78" s="234"/>
      <c r="F78" s="234"/>
    </row>
    <row r="79" spans="1:6" x14ac:dyDescent="0.35">
      <c r="A79" s="234"/>
      <c r="B79" s="234"/>
      <c r="D79" s="234"/>
      <c r="E79" s="234"/>
      <c r="F79" s="234"/>
    </row>
    <row r="82" ht="8.5" customHeight="1" x14ac:dyDescent="0.35"/>
    <row r="83" ht="12" customHeight="1" x14ac:dyDescent="0.35"/>
    <row r="84" ht="9" customHeight="1" x14ac:dyDescent="0.35"/>
    <row r="92" ht="17.5" customHeight="1" x14ac:dyDescent="0.35"/>
  </sheetData>
  <sheetProtection algorithmName="SHA-512" hashValue="y0p3LUj5V4eaTPgetxt3lXSRipLy3mjtN+eH76Z/BvSUJdjOIn3nRnI+0mp12QoofyexW9B1lXAKgVaxbG1ShA==" saltValue="kLWq7+MnKZKnCnM+GslMkw==" spinCount="100000" sheet="1" objects="1" scenarios="1"/>
  <mergeCells count="17">
    <mergeCell ref="F10:F12"/>
    <mergeCell ref="A10:A12"/>
    <mergeCell ref="B10:B12"/>
    <mergeCell ref="C10:C12"/>
    <mergeCell ref="D10:D12"/>
    <mergeCell ref="A45:D45"/>
    <mergeCell ref="A46:E46"/>
    <mergeCell ref="A2:D2"/>
    <mergeCell ref="A36:E38"/>
    <mergeCell ref="A39:D39"/>
    <mergeCell ref="A40:D40"/>
    <mergeCell ref="A41:D41"/>
    <mergeCell ref="A42:D42"/>
    <mergeCell ref="A43:D43"/>
    <mergeCell ref="A44:D44"/>
    <mergeCell ref="A35:E35"/>
    <mergeCell ref="E10:E12"/>
  </mergeCells>
  <phoneticPr fontId="37" type="noConversion"/>
  <pageMargins left="0.7" right="0.7" top="0.75" bottom="0.75" header="0.3" footer="0.3"/>
  <pageSetup orientation="portrait" r:id="rId1"/>
  <customProperties>
    <customPr name="Ibp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7962-9031-4139-B0A4-338EB77CDCC6}">
  <dimension ref="A1"/>
  <sheetViews>
    <sheetView topLeftCell="A25" zoomScaleNormal="100" workbookViewId="0">
      <selection activeCell="X59" sqref="X59"/>
    </sheetView>
  </sheetViews>
  <sheetFormatPr defaultRowHeight="14.5" x14ac:dyDescent="0.35"/>
  <sheetData/>
  <sheetProtection algorithmName="SHA-512" hashValue="am1D0okR1LYE06LQT/vtgjhMjcrIi5tn/Ohz4DtjXxB387j3nyi5b/j7C1xDlpUUVjYlc/EHgFhHJJd1mlIT6Q==" saltValue="gMAANEKdQldGlj+xRhNnoQ==" spinCount="100000" sheet="1" objects="1" scenarios="1"/>
  <pageMargins left="0.7" right="0.7" top="0.75" bottom="0.75" header="0.3" footer="0.3"/>
  <pageSetup orientation="portrait" r:id="rId1"/>
  <customProperties>
    <customPr name="Ibp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9847-ACE1-4D46-9078-DE74E9B31499}">
  <dimension ref="A1"/>
  <sheetViews>
    <sheetView zoomScale="60" zoomScaleNormal="60" workbookViewId="0">
      <selection activeCell="AE44" sqref="AE44"/>
    </sheetView>
  </sheetViews>
  <sheetFormatPr defaultRowHeight="14.5" x14ac:dyDescent="0.35"/>
  <sheetData/>
  <sheetProtection algorithmName="SHA-512" hashValue="JBGR4HtEFJR33AZKj/RCkhBTuElRazlj28CKk6sHDTbS0bUMdlvA21rM9Ncge6qhKZmpkEaNHr4zePEifPnnZg==" saltValue="2Orsd9qMIbtLq6KfUIU6sg==" spinCount="100000" sheet="1" objects="1" scenarios="1"/>
  <pageMargins left="0.7" right="0.7" top="0.75" bottom="0.75" header="0.3" footer="0.3"/>
  <pageSetup orientation="portrait" r:id="rId1"/>
  <customProperties>
    <customPr name="Ibp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1DFB-D265-47C5-9F1F-ABAFBE0740D4}">
  <dimension ref="A2:P22"/>
  <sheetViews>
    <sheetView workbookViewId="0">
      <selection activeCell="A28" sqref="A28"/>
    </sheetView>
  </sheetViews>
  <sheetFormatPr defaultRowHeight="14.5" x14ac:dyDescent="0.35"/>
  <cols>
    <col min="1" max="1" width="31.26953125" customWidth="1"/>
    <col min="3" max="3" width="38.81640625" customWidth="1"/>
    <col min="4" max="4" width="16.1796875" customWidth="1"/>
  </cols>
  <sheetData>
    <row r="2" spans="1:16" ht="21" x14ac:dyDescent="0.5">
      <c r="A2" s="205" t="s">
        <v>299</v>
      </c>
    </row>
    <row r="3" spans="1:16" x14ac:dyDescent="0.35">
      <c r="A3" s="206" t="s">
        <v>301</v>
      </c>
      <c r="C3" s="217" t="s">
        <v>300</v>
      </c>
      <c r="D3" s="206"/>
    </row>
    <row r="4" spans="1:16" ht="16.5" customHeight="1" x14ac:dyDescent="0.35">
      <c r="A4" s="372" t="s">
        <v>312</v>
      </c>
      <c r="B4" s="374"/>
      <c r="C4" s="211" t="s">
        <v>304</v>
      </c>
      <c r="D4" s="209">
        <v>25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5" spans="1:16" ht="52.5" customHeight="1" x14ac:dyDescent="0.35">
      <c r="A5" s="373"/>
      <c r="B5" s="375"/>
      <c r="C5" s="210" t="s">
        <v>322</v>
      </c>
      <c r="D5" s="80">
        <v>64</v>
      </c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1:16" ht="32.5" customHeight="1" x14ac:dyDescent="0.35">
      <c r="A6" s="106" t="s">
        <v>302</v>
      </c>
      <c r="B6" s="21"/>
      <c r="C6" s="376" t="s">
        <v>305</v>
      </c>
      <c r="D6" s="212" t="s">
        <v>323</v>
      </c>
    </row>
    <row r="7" spans="1:16" ht="30" customHeight="1" x14ac:dyDescent="0.35">
      <c r="A7" s="216" t="s">
        <v>303</v>
      </c>
      <c r="B7" s="21"/>
      <c r="C7" s="376"/>
      <c r="D7" s="213" t="s">
        <v>324</v>
      </c>
    </row>
    <row r="8" spans="1:16" ht="34" customHeight="1" x14ac:dyDescent="0.35">
      <c r="A8" s="106" t="s">
        <v>105</v>
      </c>
      <c r="B8" s="21"/>
      <c r="C8" s="210" t="s">
        <v>306</v>
      </c>
      <c r="D8" s="212">
        <v>9</v>
      </c>
    </row>
    <row r="9" spans="1:16" ht="16.5" customHeight="1" x14ac:dyDescent="0.35">
      <c r="A9" s="215"/>
    </row>
    <row r="10" spans="1:16" x14ac:dyDescent="0.35">
      <c r="A10" s="215" t="s">
        <v>313</v>
      </c>
      <c r="B10" s="21"/>
      <c r="C10" s="211" t="s">
        <v>307</v>
      </c>
      <c r="D10" s="212">
        <v>5</v>
      </c>
    </row>
    <row r="11" spans="1:16" x14ac:dyDescent="0.35">
      <c r="A11" s="211"/>
      <c r="B11" s="211"/>
      <c r="C11" s="211"/>
      <c r="D11" s="212"/>
    </row>
    <row r="12" spans="1:16" x14ac:dyDescent="0.35">
      <c r="A12" s="215" t="s">
        <v>314</v>
      </c>
      <c r="B12" s="21"/>
      <c r="C12" s="211" t="s">
        <v>308</v>
      </c>
      <c r="D12" s="212">
        <v>10</v>
      </c>
    </row>
    <row r="13" spans="1:16" x14ac:dyDescent="0.35">
      <c r="A13" s="221"/>
    </row>
    <row r="14" spans="1:16" ht="29" x14ac:dyDescent="0.35">
      <c r="A14" s="216" t="s">
        <v>315</v>
      </c>
      <c r="B14" s="21"/>
      <c r="C14" s="214" t="s">
        <v>309</v>
      </c>
      <c r="D14" s="212">
        <v>30</v>
      </c>
    </row>
    <row r="15" spans="1:16" ht="29" x14ac:dyDescent="0.35">
      <c r="A15" s="106" t="s">
        <v>316</v>
      </c>
      <c r="B15" s="21"/>
      <c r="C15" s="214" t="s">
        <v>325</v>
      </c>
      <c r="D15" s="212">
        <v>20</v>
      </c>
    </row>
    <row r="16" spans="1:16" x14ac:dyDescent="0.35">
      <c r="A16" s="94"/>
    </row>
    <row r="17" spans="1:14" x14ac:dyDescent="0.35">
      <c r="A17" s="372" t="s">
        <v>317</v>
      </c>
      <c r="B17" s="374"/>
      <c r="C17" s="218" t="s">
        <v>310</v>
      </c>
      <c r="D17" s="212">
        <v>25</v>
      </c>
    </row>
    <row r="18" spans="1:14" ht="32.15" customHeight="1" x14ac:dyDescent="0.35">
      <c r="A18" s="373"/>
      <c r="B18" s="377"/>
      <c r="C18" s="219" t="s">
        <v>321</v>
      </c>
      <c r="D18" s="212">
        <v>21</v>
      </c>
    </row>
    <row r="19" spans="1:14" ht="17.149999999999999" customHeight="1" x14ac:dyDescent="0.35">
      <c r="A19" s="368" t="s">
        <v>318</v>
      </c>
      <c r="B19" s="370"/>
      <c r="C19" s="211" t="s">
        <v>311</v>
      </c>
      <c r="D19" s="212">
        <v>5</v>
      </c>
    </row>
    <row r="20" spans="1:14" ht="31" customHeight="1" x14ac:dyDescent="0.35">
      <c r="A20" s="369"/>
      <c r="B20" s="371"/>
      <c r="C20" s="222" t="s">
        <v>320</v>
      </c>
      <c r="D20" s="212">
        <v>21</v>
      </c>
      <c r="E20" s="220"/>
      <c r="F20" s="220"/>
      <c r="G20" s="220"/>
      <c r="H20" s="220"/>
      <c r="I20" s="220"/>
      <c r="J20" s="220"/>
      <c r="K20" s="220"/>
      <c r="L20" s="220"/>
      <c r="M20" s="220"/>
      <c r="N20" s="220"/>
    </row>
    <row r="21" spans="1:14" x14ac:dyDescent="0.35">
      <c r="A21" s="94"/>
    </row>
    <row r="22" spans="1:14" ht="29.5" customHeight="1" x14ac:dyDescent="0.35">
      <c r="A22" s="106" t="s">
        <v>319</v>
      </c>
      <c r="B22" s="21"/>
      <c r="C22" s="214" t="s">
        <v>326</v>
      </c>
      <c r="D22" s="80">
        <v>25</v>
      </c>
    </row>
  </sheetData>
  <sheetProtection algorithmName="SHA-512" hashValue="IEhNsH6/spbO8PAXdorYS8ZQofERAFiGRD/tjXZb/B5kpqYCHJfGQgmcU5wyTJfYrlaaZ9JXiMnJptvDraZ11w==" saltValue="3U8sZpDvqMSYgGlZoA75zw==" spinCount="100000" sheet="1" objects="1" scenarios="1"/>
  <mergeCells count="7">
    <mergeCell ref="A19:A20"/>
    <mergeCell ref="B19:B20"/>
    <mergeCell ref="A4:A5"/>
    <mergeCell ref="B4:B5"/>
    <mergeCell ref="C6:C7"/>
    <mergeCell ref="A17:A18"/>
    <mergeCell ref="B17:B18"/>
  </mergeCells>
  <dataValidations count="6">
    <dataValidation type="whole" allowBlank="1" showInputMessage="1" showErrorMessage="1" errorTitle="# Units Error" error="Must be greater than 1." sqref="B15 B10" xr:uid="{AA0DA588-336B-4672-B6B1-E5C7189210B8}">
      <formula1>1</formula1>
      <formula2>999999</formula2>
    </dataValidation>
    <dataValidation type="whole" allowBlank="1" showInputMessage="1" showErrorMessage="1" errorTitle="# Units Error" error="Must be greater than 1." sqref="B14 B22 B6:B8 B12 B4 B19" xr:uid="{E33264AC-D150-44AC-8BF0-B7E0E36A2F30}">
      <formula1>1</formula1>
      <formula2>9999999</formula2>
    </dataValidation>
    <dataValidation type="whole" allowBlank="1" showInputMessage="1" showErrorMessage="1" errorTitle="# Units Error" error="Must be 3 or greater." sqref="B6" xr:uid="{009CADFB-0274-42AB-8BBC-2DD39AAF285E}">
      <formula1>3</formula1>
      <formula2>9999999</formula2>
    </dataValidation>
    <dataValidation type="whole" allowBlank="1" showInputMessage="1" showErrorMessage="1" errorTitle="# Units Error" error="Must be between 1 and 5" sqref="B17" xr:uid="{D6C513F1-BE82-474E-90E8-6EBEE87BD136}">
      <formula1>1</formula1>
      <formula2>5</formula2>
    </dataValidation>
    <dataValidation type="whole" allowBlank="1" showInputMessage="1" showErrorMessage="1" errorTitle="# Units Error" error="Must be 24 or greater." sqref="B8" xr:uid="{D09C353C-5667-4EB2-B4AA-81833F65F615}">
      <formula1>24</formula1>
      <formula2>9999999</formula2>
    </dataValidation>
    <dataValidation type="whole" allowBlank="1" showInputMessage="1" showErrorMessage="1" errorTitle="# Units Error" error="Must be 9 or greater." sqref="B14 B7:B8" xr:uid="{7093DCBF-B716-4CA7-8678-63AA81E418DC}">
      <formula1>9</formula1>
      <formula2>9999999</formula2>
    </dataValidation>
  </dataValidations>
  <pageMargins left="0.7" right="0.7" top="0.75" bottom="0.75" header="0.3" footer="0.3"/>
  <pageSetup orientation="portrait" r:id="rId1"/>
  <customProperties>
    <customPr name="Ibp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F481-A6B9-4974-B49D-A6D650A82E24}">
  <sheetPr codeName="Sheet3"/>
  <dimension ref="B2:S62"/>
  <sheetViews>
    <sheetView topLeftCell="G1" workbookViewId="0">
      <selection activeCell="O6" sqref="O6"/>
    </sheetView>
  </sheetViews>
  <sheetFormatPr defaultColWidth="9.1796875" defaultRowHeight="13" x14ac:dyDescent="0.3"/>
  <cols>
    <col min="1" max="1" width="9.1796875" style="6" customWidth="1"/>
    <col min="2" max="2" width="15.7265625" style="6" customWidth="1"/>
    <col min="3" max="3" width="25.7265625" style="6" customWidth="1"/>
    <col min="4" max="4" width="15.7265625" style="6" customWidth="1"/>
    <col min="5" max="5" width="9.1796875" style="6" customWidth="1"/>
    <col min="6" max="6" width="30.54296875" style="6" customWidth="1"/>
    <col min="7" max="8" width="25.7265625" style="6" customWidth="1"/>
    <col min="9" max="9" width="19.453125" style="7" customWidth="1"/>
    <col min="10" max="10" width="15.7265625" style="7" customWidth="1"/>
    <col min="11" max="11" width="17.1796875" style="9" customWidth="1"/>
    <col min="12" max="12" width="9.1796875" style="6" customWidth="1"/>
    <col min="13" max="14" width="15.7265625" style="8" customWidth="1"/>
    <col min="15" max="15" width="15.7265625" style="9" customWidth="1"/>
    <col min="16" max="16" width="15.7265625" style="6" customWidth="1"/>
    <col min="17" max="17" width="9.1796875" style="6" customWidth="1"/>
    <col min="18" max="16384" width="9.1796875" style="6"/>
  </cols>
  <sheetData>
    <row r="2" spans="2:19" x14ac:dyDescent="0.3">
      <c r="B2" s="380" t="s">
        <v>219</v>
      </c>
      <c r="C2" s="380"/>
      <c r="D2" s="380"/>
      <c r="F2" s="380" t="s">
        <v>220</v>
      </c>
      <c r="G2" s="380"/>
      <c r="H2" s="380"/>
      <c r="I2" s="381"/>
      <c r="J2" s="381"/>
      <c r="K2" s="382"/>
      <c r="M2" s="383" t="s">
        <v>221</v>
      </c>
      <c r="N2" s="383"/>
      <c r="O2" s="382"/>
      <c r="P2" s="380"/>
      <c r="R2" s="72" t="s">
        <v>222</v>
      </c>
    </row>
    <row r="3" spans="2:19" ht="26" x14ac:dyDescent="0.3">
      <c r="B3" s="18" t="s">
        <v>223</v>
      </c>
      <c r="C3" s="18" t="s">
        <v>224</v>
      </c>
      <c r="D3" s="18" t="s">
        <v>225</v>
      </c>
      <c r="F3" s="18" t="s">
        <v>21</v>
      </c>
      <c r="G3" s="18" t="s">
        <v>22</v>
      </c>
      <c r="H3" s="18" t="s">
        <v>226</v>
      </c>
      <c r="I3" s="60" t="s">
        <v>227</v>
      </c>
      <c r="J3" s="60" t="s">
        <v>228</v>
      </c>
      <c r="K3" s="61" t="s">
        <v>27</v>
      </c>
      <c r="M3" s="12" t="s">
        <v>227</v>
      </c>
      <c r="N3" s="12" t="s">
        <v>228</v>
      </c>
      <c r="O3" s="61" t="s">
        <v>27</v>
      </c>
      <c r="P3" s="18" t="s">
        <v>229</v>
      </c>
      <c r="R3" s="6" t="s">
        <v>292</v>
      </c>
    </row>
    <row r="4" spans="2:19" x14ac:dyDescent="0.3">
      <c r="B4" s="52">
        <v>10</v>
      </c>
      <c r="C4" s="52" t="s">
        <v>230</v>
      </c>
      <c r="D4" s="52">
        <v>1</v>
      </c>
      <c r="F4" s="52" t="s">
        <v>50</v>
      </c>
      <c r="G4" s="52" t="s">
        <v>51</v>
      </c>
      <c r="H4" s="52" t="s">
        <v>52</v>
      </c>
      <c r="I4" s="62">
        <v>4</v>
      </c>
      <c r="J4" s="62">
        <v>9999999</v>
      </c>
      <c r="K4" s="98">
        <v>5.7431037886537799E-2</v>
      </c>
      <c r="L4" s="64"/>
      <c r="M4" s="73">
        <v>5000</v>
      </c>
      <c r="N4" s="73">
        <v>12999.99</v>
      </c>
      <c r="O4" s="65">
        <v>0.03</v>
      </c>
      <c r="P4" s="63">
        <v>1</v>
      </c>
      <c r="Q4" s="64"/>
      <c r="R4" s="64"/>
      <c r="S4" s="64"/>
    </row>
    <row r="5" spans="2:19" x14ac:dyDescent="0.3">
      <c r="B5" s="52">
        <v>1</v>
      </c>
      <c r="C5" s="52" t="s">
        <v>231</v>
      </c>
      <c r="D5" s="52">
        <v>0</v>
      </c>
      <c r="F5" s="52" t="s">
        <v>82</v>
      </c>
      <c r="G5" s="52" t="s">
        <v>232</v>
      </c>
      <c r="H5" s="52" t="s">
        <v>52</v>
      </c>
      <c r="I5" s="62">
        <v>2</v>
      </c>
      <c r="J5" s="62">
        <v>5</v>
      </c>
      <c r="K5" s="96">
        <v>4.9140049140049137E-2</v>
      </c>
      <c r="L5" s="64"/>
      <c r="M5" s="73">
        <v>13000</v>
      </c>
      <c r="N5" s="73">
        <v>20999</v>
      </c>
      <c r="O5" s="65">
        <v>0.04</v>
      </c>
      <c r="P5" s="63">
        <v>1</v>
      </c>
      <c r="Q5" s="64"/>
      <c r="R5" s="64"/>
      <c r="S5" s="64"/>
    </row>
    <row r="6" spans="2:19" x14ac:dyDescent="0.3">
      <c r="B6" s="52">
        <v>2</v>
      </c>
      <c r="C6" s="52" t="s">
        <v>233</v>
      </c>
      <c r="D6" s="52">
        <v>0</v>
      </c>
      <c r="F6" s="52" t="s">
        <v>82</v>
      </c>
      <c r="G6" s="52" t="s">
        <v>232</v>
      </c>
      <c r="H6" s="52" t="s">
        <v>52</v>
      </c>
      <c r="I6" s="62">
        <v>6</v>
      </c>
      <c r="J6" s="62">
        <v>999999</v>
      </c>
      <c r="K6" s="63">
        <v>5.5865921787709494E-2</v>
      </c>
      <c r="L6" s="64"/>
      <c r="M6" s="73">
        <v>21000</v>
      </c>
      <c r="N6" s="73">
        <v>28999</v>
      </c>
      <c r="O6" s="65">
        <v>0.05</v>
      </c>
      <c r="P6" s="63">
        <v>1</v>
      </c>
      <c r="Q6" s="64"/>
      <c r="R6" s="64"/>
      <c r="S6" s="64"/>
    </row>
    <row r="7" spans="2:19" x14ac:dyDescent="0.3">
      <c r="B7" s="52">
        <v>3</v>
      </c>
      <c r="C7" s="52" t="s">
        <v>234</v>
      </c>
      <c r="D7" s="52">
        <v>0</v>
      </c>
      <c r="F7" s="52" t="s">
        <v>90</v>
      </c>
      <c r="G7" s="52" t="s">
        <v>91</v>
      </c>
      <c r="H7" s="52" t="s">
        <v>52</v>
      </c>
      <c r="I7" s="62">
        <v>1</v>
      </c>
      <c r="J7" s="62">
        <v>9999999</v>
      </c>
      <c r="K7" s="63">
        <v>1.1242270938729624E-2</v>
      </c>
      <c r="L7" s="64"/>
      <c r="M7" s="73">
        <v>29000</v>
      </c>
      <c r="N7" s="73">
        <v>36999</v>
      </c>
      <c r="O7" s="65">
        <v>0.06</v>
      </c>
      <c r="P7" s="63">
        <v>1</v>
      </c>
      <c r="Q7" s="64"/>
      <c r="R7" s="64"/>
      <c r="S7" s="64"/>
    </row>
    <row r="8" spans="2:19" x14ac:dyDescent="0.3">
      <c r="B8" s="52">
        <v>5</v>
      </c>
      <c r="C8" s="52" t="s">
        <v>235</v>
      </c>
      <c r="D8" s="52">
        <v>0</v>
      </c>
      <c r="F8" s="52" t="s">
        <v>98</v>
      </c>
      <c r="G8" s="52" t="s">
        <v>236</v>
      </c>
      <c r="H8" s="52" t="s">
        <v>100</v>
      </c>
      <c r="I8" s="62">
        <v>4</v>
      </c>
      <c r="J8" s="62">
        <v>23</v>
      </c>
      <c r="K8" s="63">
        <v>0</v>
      </c>
      <c r="L8" s="64"/>
      <c r="M8" s="73">
        <v>37000</v>
      </c>
      <c r="N8" s="73">
        <v>44999</v>
      </c>
      <c r="O8" s="65">
        <v>0.08</v>
      </c>
      <c r="P8" s="63">
        <v>1</v>
      </c>
      <c r="Q8" s="64"/>
      <c r="R8" s="64"/>
      <c r="S8" s="64"/>
    </row>
    <row r="9" spans="2:19" x14ac:dyDescent="0.3">
      <c r="B9" s="52">
        <v>6</v>
      </c>
      <c r="C9" s="52" t="s">
        <v>237</v>
      </c>
      <c r="D9" s="52">
        <v>0</v>
      </c>
      <c r="F9" s="52" t="s">
        <v>98</v>
      </c>
      <c r="G9" s="52" t="s">
        <v>236</v>
      </c>
      <c r="H9" s="52" t="s">
        <v>100</v>
      </c>
      <c r="I9" s="62">
        <v>24</v>
      </c>
      <c r="J9" s="62">
        <v>999999</v>
      </c>
      <c r="K9" s="63">
        <v>0</v>
      </c>
      <c r="L9" s="64"/>
      <c r="M9" s="73">
        <v>45000</v>
      </c>
      <c r="N9" s="73">
        <v>999999.99</v>
      </c>
      <c r="O9" s="65">
        <v>0.09</v>
      </c>
      <c r="P9" s="63">
        <v>1</v>
      </c>
      <c r="Q9" s="64"/>
      <c r="R9" s="64"/>
      <c r="S9" s="64"/>
    </row>
    <row r="10" spans="2:19" x14ac:dyDescent="0.3">
      <c r="B10" s="52">
        <v>4</v>
      </c>
      <c r="C10" s="52" t="s">
        <v>238</v>
      </c>
      <c r="D10" s="52">
        <v>0</v>
      </c>
      <c r="F10" s="52" t="s">
        <v>111</v>
      </c>
      <c r="G10" s="52" t="s">
        <v>112</v>
      </c>
      <c r="H10" s="52" t="s">
        <v>113</v>
      </c>
      <c r="I10" s="66">
        <v>20</v>
      </c>
      <c r="J10" s="62">
        <v>999999</v>
      </c>
      <c r="K10" s="67">
        <v>9.0497737556561084E-2</v>
      </c>
      <c r="L10" s="64"/>
    </row>
    <row r="11" spans="2:19" x14ac:dyDescent="0.3">
      <c r="B11" s="52">
        <v>7</v>
      </c>
      <c r="C11" s="52" t="s">
        <v>239</v>
      </c>
      <c r="D11" s="52">
        <v>1</v>
      </c>
      <c r="F11" s="20" t="s">
        <v>240</v>
      </c>
      <c r="G11" s="20" t="s">
        <v>241</v>
      </c>
      <c r="H11" s="68" t="s">
        <v>52</v>
      </c>
      <c r="I11" s="69">
        <v>1</v>
      </c>
      <c r="J11" s="70">
        <v>2</v>
      </c>
      <c r="K11" s="71">
        <v>1.80505415E-2</v>
      </c>
    </row>
    <row r="12" spans="2:19" x14ac:dyDescent="0.3">
      <c r="B12" s="52">
        <v>11</v>
      </c>
      <c r="C12" s="52" t="s">
        <v>242</v>
      </c>
      <c r="D12" s="52">
        <v>1</v>
      </c>
      <c r="F12" s="20" t="s">
        <v>240</v>
      </c>
      <c r="G12" s="20" t="s">
        <v>243</v>
      </c>
      <c r="H12" s="68" t="s">
        <v>52</v>
      </c>
      <c r="I12" s="69">
        <v>3</v>
      </c>
      <c r="J12" s="70">
        <v>999999</v>
      </c>
      <c r="K12" s="71">
        <v>1.9230769200000001E-2</v>
      </c>
    </row>
    <row r="13" spans="2:19" x14ac:dyDescent="0.3">
      <c r="B13" s="52">
        <v>8</v>
      </c>
      <c r="C13" s="52" t="s">
        <v>244</v>
      </c>
      <c r="D13" s="52">
        <v>0</v>
      </c>
      <c r="F13" s="20" t="s">
        <v>70</v>
      </c>
      <c r="G13" s="20" t="s">
        <v>71</v>
      </c>
      <c r="H13" s="68" t="s">
        <v>52</v>
      </c>
      <c r="I13" s="69">
        <v>16</v>
      </c>
      <c r="J13" s="70">
        <v>999999</v>
      </c>
      <c r="K13" s="71">
        <v>0.13986013990000001</v>
      </c>
    </row>
    <row r="14" spans="2:19" x14ac:dyDescent="0.3">
      <c r="B14" s="52">
        <v>9</v>
      </c>
      <c r="C14" s="52" t="s">
        <v>245</v>
      </c>
      <c r="D14" s="52">
        <v>0</v>
      </c>
      <c r="F14" s="20" t="s">
        <v>74</v>
      </c>
      <c r="G14" s="20" t="s">
        <v>75</v>
      </c>
      <c r="H14" s="68" t="s">
        <v>52</v>
      </c>
      <c r="I14" s="69">
        <v>8</v>
      </c>
      <c r="J14" s="70">
        <v>999999</v>
      </c>
      <c r="K14" s="71">
        <v>7.0234583500000003E-2</v>
      </c>
    </row>
    <row r="15" spans="2:19" x14ac:dyDescent="0.3">
      <c r="F15" s="20" t="s">
        <v>115</v>
      </c>
      <c r="G15" s="20" t="s">
        <v>116</v>
      </c>
      <c r="H15" s="68" t="s">
        <v>52</v>
      </c>
      <c r="I15" s="69">
        <v>1</v>
      </c>
      <c r="J15" s="70">
        <v>5</v>
      </c>
      <c r="K15" s="71">
        <v>4.7058823499999999E-2</v>
      </c>
    </row>
    <row r="16" spans="2:19" x14ac:dyDescent="0.3">
      <c r="F16" s="20" t="s">
        <v>115</v>
      </c>
      <c r="G16" s="20" t="s">
        <v>117</v>
      </c>
      <c r="H16" s="68" t="s">
        <v>52</v>
      </c>
      <c r="I16" s="69">
        <v>6</v>
      </c>
      <c r="J16" s="70">
        <v>999999</v>
      </c>
      <c r="K16" s="71">
        <v>5.1612903199999997E-2</v>
      </c>
    </row>
    <row r="17" spans="2:13" x14ac:dyDescent="0.3">
      <c r="F17" s="20" t="s">
        <v>54</v>
      </c>
      <c r="G17" s="20" t="s">
        <v>55</v>
      </c>
      <c r="H17" s="68" t="s">
        <v>19</v>
      </c>
      <c r="I17" s="69">
        <v>16</v>
      </c>
      <c r="J17" s="70">
        <v>999999</v>
      </c>
      <c r="K17" s="71">
        <v>4.6446818399999999E-2</v>
      </c>
    </row>
    <row r="18" spans="2:13" x14ac:dyDescent="0.3">
      <c r="F18" s="20" t="s">
        <v>56</v>
      </c>
      <c r="G18" s="20" t="s">
        <v>57</v>
      </c>
      <c r="H18" s="68" t="s">
        <v>19</v>
      </c>
      <c r="I18" s="69">
        <v>8</v>
      </c>
      <c r="J18" s="70">
        <v>999999</v>
      </c>
      <c r="K18" s="71">
        <v>3.215434083601286E-2</v>
      </c>
    </row>
    <row r="19" spans="2:13" x14ac:dyDescent="0.3">
      <c r="F19" s="20" t="s">
        <v>87</v>
      </c>
      <c r="G19" s="20" t="s">
        <v>88</v>
      </c>
      <c r="H19" s="68" t="s">
        <v>89</v>
      </c>
      <c r="I19" s="69">
        <v>1</v>
      </c>
      <c r="J19" s="70">
        <v>999999</v>
      </c>
      <c r="K19" s="71">
        <v>4.2231075700000002E-2</v>
      </c>
    </row>
    <row r="20" spans="2:13" x14ac:dyDescent="0.3">
      <c r="F20" s="20" t="s">
        <v>131</v>
      </c>
      <c r="G20" s="20" t="s">
        <v>132</v>
      </c>
      <c r="H20" s="68" t="s">
        <v>52</v>
      </c>
      <c r="I20" s="69">
        <v>1</v>
      </c>
      <c r="J20" s="70">
        <v>999999</v>
      </c>
      <c r="K20" s="71">
        <v>0.1173020528</v>
      </c>
    </row>
    <row r="21" spans="2:13" x14ac:dyDescent="0.3">
      <c r="F21" s="20" t="s">
        <v>150</v>
      </c>
      <c r="G21" s="20" t="s">
        <v>151</v>
      </c>
      <c r="H21" s="68" t="s">
        <v>152</v>
      </c>
      <c r="I21" s="69">
        <v>1</v>
      </c>
      <c r="J21" s="70">
        <v>999999</v>
      </c>
      <c r="K21" s="71">
        <v>0.120796581</v>
      </c>
    </row>
    <row r="22" spans="2:13" x14ac:dyDescent="0.3">
      <c r="F22" s="20" t="s">
        <v>134</v>
      </c>
      <c r="G22" s="20" t="s">
        <v>135</v>
      </c>
      <c r="H22" s="68" t="s">
        <v>97</v>
      </c>
      <c r="I22" s="69">
        <v>1</v>
      </c>
      <c r="J22" s="70">
        <v>999999</v>
      </c>
      <c r="K22" s="71">
        <v>0.1554592092</v>
      </c>
    </row>
    <row r="23" spans="2:13" x14ac:dyDescent="0.3">
      <c r="F23" s="20" t="s">
        <v>140</v>
      </c>
      <c r="G23" s="20" t="s">
        <v>141</v>
      </c>
      <c r="H23" s="20" t="s">
        <v>142</v>
      </c>
      <c r="I23" s="69">
        <v>1</v>
      </c>
      <c r="J23" s="70">
        <v>999999</v>
      </c>
      <c r="K23" s="71">
        <v>0.2346041056</v>
      </c>
    </row>
    <row r="25" spans="2:13" x14ac:dyDescent="0.3">
      <c r="B25" s="6" t="s">
        <v>210</v>
      </c>
    </row>
    <row r="26" spans="2:13" x14ac:dyDescent="0.3">
      <c r="B26" s="6" t="s">
        <v>246</v>
      </c>
      <c r="F26" s="6" t="s">
        <v>247</v>
      </c>
      <c r="H26" s="6" t="s">
        <v>248</v>
      </c>
      <c r="J26" s="7" t="s">
        <v>11</v>
      </c>
      <c r="K26" s="9" t="s">
        <v>249</v>
      </c>
      <c r="M26" s="72" t="s">
        <v>222</v>
      </c>
    </row>
    <row r="27" spans="2:13" ht="14.5" x14ac:dyDescent="0.3">
      <c r="F27" s="90" t="s">
        <v>250</v>
      </c>
      <c r="G27" s="112">
        <v>1114.3800000000001</v>
      </c>
      <c r="H27" s="80" t="s">
        <v>251</v>
      </c>
      <c r="I27" s="99">
        <f>64/G27</f>
        <v>5.7431037886537799E-2</v>
      </c>
      <c r="J27" s="80">
        <v>25</v>
      </c>
      <c r="K27" s="95">
        <f>J27/G27</f>
        <v>2.2433999174428829E-2</v>
      </c>
      <c r="M27" s="8" t="s">
        <v>288</v>
      </c>
    </row>
    <row r="28" spans="2:13" ht="14.5" x14ac:dyDescent="0.3">
      <c r="F28" s="379" t="s">
        <v>252</v>
      </c>
      <c r="G28" s="112">
        <v>359.94</v>
      </c>
      <c r="H28" s="81"/>
      <c r="J28" s="81"/>
      <c r="K28" s="95"/>
    </row>
    <row r="29" spans="2:13" ht="14.5" x14ac:dyDescent="0.3">
      <c r="F29" s="379"/>
      <c r="G29" s="112">
        <v>338.5</v>
      </c>
      <c r="H29" s="81"/>
      <c r="J29" s="82">
        <v>7.5</v>
      </c>
      <c r="K29" s="95">
        <f>J29/G29</f>
        <v>2.2156573116691284E-2</v>
      </c>
      <c r="M29" s="8" t="s">
        <v>289</v>
      </c>
    </row>
    <row r="30" spans="2:13" ht="14.5" x14ac:dyDescent="0.3">
      <c r="F30" s="378" t="s">
        <v>253</v>
      </c>
      <c r="G30" s="112">
        <v>1439.75</v>
      </c>
      <c r="H30" s="79"/>
      <c r="J30" s="79"/>
      <c r="K30" s="95"/>
    </row>
    <row r="31" spans="2:13" ht="14.5" x14ac:dyDescent="0.3">
      <c r="F31" s="378"/>
      <c r="G31" s="112">
        <v>1354</v>
      </c>
      <c r="H31" s="79"/>
      <c r="J31" s="80">
        <v>30</v>
      </c>
      <c r="K31" s="95">
        <f>J31/G31</f>
        <v>2.2156573116691284E-2</v>
      </c>
      <c r="M31" s="8" t="s">
        <v>289</v>
      </c>
    </row>
    <row r="32" spans="2:13" ht="14.5" x14ac:dyDescent="0.3">
      <c r="F32" s="91" t="s">
        <v>254</v>
      </c>
      <c r="G32" s="112">
        <v>673.2</v>
      </c>
      <c r="H32" s="81"/>
      <c r="J32" s="83">
        <v>30</v>
      </c>
      <c r="K32" s="95">
        <f>J32/G32</f>
        <v>4.4563279857397504E-2</v>
      </c>
      <c r="M32" s="8" t="s">
        <v>289</v>
      </c>
    </row>
    <row r="33" spans="6:14" ht="14.5" x14ac:dyDescent="0.3">
      <c r="F33" s="378" t="s">
        <v>255</v>
      </c>
      <c r="G33" s="175">
        <v>508.75</v>
      </c>
      <c r="H33" s="79" t="s">
        <v>256</v>
      </c>
      <c r="I33" s="96">
        <f>25/G33</f>
        <v>4.9140049140049137E-2</v>
      </c>
    </row>
    <row r="34" spans="6:14" ht="14.5" x14ac:dyDescent="0.3">
      <c r="F34" s="378"/>
      <c r="G34" s="112">
        <v>447.5</v>
      </c>
      <c r="H34" s="79"/>
      <c r="I34" s="96">
        <f>25/G34</f>
        <v>5.5865921787709494E-2</v>
      </c>
      <c r="J34" s="80">
        <v>21</v>
      </c>
      <c r="K34" s="95">
        <f>J34/G34</f>
        <v>4.6927374301675977E-2</v>
      </c>
      <c r="M34" s="8">
        <v>4.6927374301675998E-2</v>
      </c>
      <c r="N34" s="8">
        <f>M34*G34</f>
        <v>21.000000000000011</v>
      </c>
    </row>
    <row r="35" spans="6:14" ht="14.5" x14ac:dyDescent="0.3">
      <c r="F35" s="91" t="s">
        <v>257</v>
      </c>
      <c r="G35" s="112">
        <v>444.75</v>
      </c>
      <c r="H35" s="81" t="s">
        <v>258</v>
      </c>
      <c r="I35" s="96">
        <f>5/G35</f>
        <v>1.1242270938729624E-2</v>
      </c>
      <c r="J35" s="83">
        <v>21</v>
      </c>
      <c r="K35" s="95">
        <f>J35/G35</f>
        <v>4.7217537942664416E-2</v>
      </c>
      <c r="M35" s="8" t="s">
        <v>289</v>
      </c>
    </row>
    <row r="36" spans="6:14" ht="14.5" x14ac:dyDescent="0.3">
      <c r="F36" s="378" t="s">
        <v>259</v>
      </c>
      <c r="G36" s="112">
        <v>190.25</v>
      </c>
      <c r="H36" s="79"/>
      <c r="J36" s="79"/>
      <c r="K36" s="95"/>
    </row>
    <row r="37" spans="6:14" ht="14.5" x14ac:dyDescent="0.3">
      <c r="F37" s="378"/>
      <c r="G37" s="112">
        <v>174</v>
      </c>
      <c r="H37" s="79"/>
      <c r="J37" s="80">
        <v>9</v>
      </c>
      <c r="K37" s="95">
        <f>J37/G37</f>
        <v>5.1724137931034482E-2</v>
      </c>
      <c r="M37" s="8" t="s">
        <v>289</v>
      </c>
    </row>
    <row r="38" spans="6:14" x14ac:dyDescent="0.3">
      <c r="F38" s="92" t="s">
        <v>260</v>
      </c>
      <c r="G38" s="85"/>
      <c r="H38" s="84"/>
      <c r="J38" s="84"/>
      <c r="K38" s="95"/>
    </row>
    <row r="39" spans="6:14" ht="14.5" x14ac:dyDescent="0.3">
      <c r="F39" s="90" t="s">
        <v>261</v>
      </c>
      <c r="G39" s="112">
        <v>155.5</v>
      </c>
      <c r="H39" s="79" t="s">
        <v>290</v>
      </c>
      <c r="I39" s="96">
        <f>5/G39</f>
        <v>3.215434083601286E-2</v>
      </c>
      <c r="J39" s="79"/>
      <c r="K39" s="95"/>
      <c r="M39" s="8" t="s">
        <v>289</v>
      </c>
    </row>
    <row r="40" spans="6:14" ht="14.5" x14ac:dyDescent="0.3">
      <c r="F40" s="91" t="s">
        <v>262</v>
      </c>
      <c r="G40" s="77"/>
      <c r="H40" s="81"/>
      <c r="J40" s="81"/>
      <c r="K40" s="95"/>
    </row>
    <row r="41" spans="6:14" ht="14.5" x14ac:dyDescent="0.3">
      <c r="F41" s="378" t="s">
        <v>263</v>
      </c>
      <c r="G41" s="78"/>
      <c r="H41" s="79"/>
      <c r="J41" s="79"/>
      <c r="K41" s="95"/>
    </row>
    <row r="42" spans="6:14" ht="14.5" x14ac:dyDescent="0.3">
      <c r="F42" s="378"/>
      <c r="G42" s="78"/>
      <c r="H42" s="79"/>
      <c r="J42" s="79"/>
      <c r="K42" s="95"/>
    </row>
    <row r="43" spans="6:14" ht="14.5" x14ac:dyDescent="0.3">
      <c r="F43" s="91" t="s">
        <v>264</v>
      </c>
      <c r="G43" s="112">
        <v>110.5</v>
      </c>
      <c r="H43" s="81" t="s">
        <v>265</v>
      </c>
      <c r="I43" s="96">
        <f>10/G43</f>
        <v>9.0497737556561084E-2</v>
      </c>
      <c r="J43" s="81"/>
      <c r="K43" s="95"/>
      <c r="M43" s="8" t="s">
        <v>289</v>
      </c>
    </row>
    <row r="44" spans="6:14" ht="14.5" x14ac:dyDescent="0.3">
      <c r="F44" s="90" t="s">
        <v>266</v>
      </c>
      <c r="G44" s="112">
        <v>389.7</v>
      </c>
      <c r="H44" s="79"/>
      <c r="J44" s="79">
        <v>25</v>
      </c>
      <c r="K44" s="176">
        <f>J44/G44</f>
        <v>6.4151911726969463E-2</v>
      </c>
      <c r="M44" s="8" t="s">
        <v>289</v>
      </c>
    </row>
    <row r="45" spans="6:14" ht="14.5" x14ac:dyDescent="0.35">
      <c r="F45" s="93" t="s">
        <v>267</v>
      </c>
      <c r="G45" s="86"/>
      <c r="H45" s="86"/>
      <c r="J45" s="86"/>
      <c r="K45" s="95"/>
    </row>
    <row r="46" spans="6:14" ht="14.5" x14ac:dyDescent="0.35">
      <c r="F46" s="379" t="s">
        <v>268</v>
      </c>
      <c r="G46" s="112">
        <v>1778</v>
      </c>
      <c r="H46" s="87"/>
      <c r="J46" s="87"/>
      <c r="K46" s="95"/>
    </row>
    <row r="47" spans="6:14" ht="14.5" x14ac:dyDescent="0.35">
      <c r="F47" s="379"/>
      <c r="G47" s="112">
        <v>1601</v>
      </c>
      <c r="H47" s="87"/>
      <c r="J47" s="87"/>
      <c r="K47" s="95"/>
    </row>
    <row r="48" spans="6:14" ht="14.5" x14ac:dyDescent="0.35">
      <c r="F48" s="93" t="s">
        <v>269</v>
      </c>
      <c r="G48" s="86"/>
      <c r="H48" s="86"/>
      <c r="J48" s="86"/>
      <c r="K48" s="95"/>
    </row>
    <row r="49" spans="6:13" ht="14.5" x14ac:dyDescent="0.35">
      <c r="F49" s="94" t="s">
        <v>270</v>
      </c>
      <c r="G49" s="112">
        <v>457</v>
      </c>
      <c r="H49" s="88"/>
      <c r="J49" s="89">
        <v>20</v>
      </c>
      <c r="K49" s="95">
        <f>J49/G49</f>
        <v>4.3763676148796497E-2</v>
      </c>
      <c r="M49" s="95" t="s">
        <v>291</v>
      </c>
    </row>
    <row r="53" spans="6:13" x14ac:dyDescent="0.3">
      <c r="F53" s="103" t="s">
        <v>271</v>
      </c>
      <c r="G53" s="103" t="s">
        <v>272</v>
      </c>
      <c r="H53" s="103"/>
    </row>
    <row r="54" spans="6:13" x14ac:dyDescent="0.3">
      <c r="F54" s="102" t="s">
        <v>273</v>
      </c>
      <c r="G54" s="101" t="s">
        <v>274</v>
      </c>
      <c r="H54" s="101"/>
    </row>
    <row r="55" spans="6:13" x14ac:dyDescent="0.3">
      <c r="F55" s="100" t="s">
        <v>275</v>
      </c>
      <c r="G55" s="101" t="s">
        <v>274</v>
      </c>
      <c r="H55" s="101"/>
    </row>
    <row r="56" spans="6:13" x14ac:dyDescent="0.3">
      <c r="F56" s="100" t="s">
        <v>276</v>
      </c>
      <c r="G56" s="101" t="s">
        <v>274</v>
      </c>
      <c r="H56" s="101"/>
    </row>
    <row r="57" spans="6:13" x14ac:dyDescent="0.3">
      <c r="F57" s="100" t="s">
        <v>277</v>
      </c>
      <c r="G57" s="101" t="s">
        <v>274</v>
      </c>
      <c r="H57" s="101"/>
    </row>
    <row r="58" spans="6:13" x14ac:dyDescent="0.3">
      <c r="F58" s="100" t="s">
        <v>278</v>
      </c>
      <c r="G58" s="101"/>
      <c r="H58" s="101"/>
    </row>
    <row r="59" spans="6:13" x14ac:dyDescent="0.3">
      <c r="F59" s="100" t="s">
        <v>279</v>
      </c>
      <c r="G59" s="101"/>
      <c r="H59" s="101"/>
    </row>
    <row r="60" spans="6:13" x14ac:dyDescent="0.3">
      <c r="F60" s="100" t="s">
        <v>280</v>
      </c>
      <c r="G60" s="101"/>
      <c r="H60" s="101"/>
    </row>
    <row r="61" spans="6:13" x14ac:dyDescent="0.3">
      <c r="F61" s="100" t="s">
        <v>281</v>
      </c>
      <c r="G61" s="101"/>
      <c r="H61" s="101"/>
    </row>
    <row r="62" spans="6:13" x14ac:dyDescent="0.3">
      <c r="F62" s="100" t="s">
        <v>282</v>
      </c>
      <c r="G62" s="101"/>
      <c r="H62" s="101"/>
    </row>
  </sheetData>
  <mergeCells count="9">
    <mergeCell ref="F41:F42"/>
    <mergeCell ref="F46:F47"/>
    <mergeCell ref="B2:D2"/>
    <mergeCell ref="F2:K2"/>
    <mergeCell ref="M2:P2"/>
    <mergeCell ref="F28:F29"/>
    <mergeCell ref="F30:F31"/>
    <mergeCell ref="F33:F34"/>
    <mergeCell ref="F36:F37"/>
  </mergeCells>
  <pageMargins left="0.75" right="0.75" top="0.75" bottom="0.5" header="0.5" footer="0.75"/>
  <pageSetup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5C58F5046A0E4182DBC2A12A36F880" ma:contentTypeVersion="8" ma:contentTypeDescription="Create a new document." ma:contentTypeScope="" ma:versionID="7e0a6121726efafd8745d7db4d452cfe">
  <xsd:schema xmlns:xsd="http://www.w3.org/2001/XMLSchema" xmlns:xs="http://www.w3.org/2001/XMLSchema" xmlns:p="http://schemas.microsoft.com/office/2006/metadata/properties" xmlns:ns2="fd518cb1-92d4-4edb-a7c8-c710b6af3ac0" targetNamespace="http://schemas.microsoft.com/office/2006/metadata/properties" ma:root="true" ma:fieldsID="98d1e3a761fe03b1fd9e6235c03b9f52" ns2:_="">
    <xsd:import namespace="fd518cb1-92d4-4edb-a7c8-c710b6af3a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18cb1-92d4-4edb-a7c8-c710b6af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825530-5F48-4FFB-8D02-153A8EE4B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18cb1-92d4-4edb-a7c8-c710b6af3a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D0050A-FED6-4543-856B-2489F0527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CE399-7F2C-4AB7-B85C-DC0375166756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fd518cb1-92d4-4edb-a7c8-c710b6af3ac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NOW-CALCULATOR</vt:lpstr>
      <vt:lpstr>PRINT YOUR ORDER</vt:lpstr>
      <vt:lpstr>NATIONAL GOLF FLYER</vt:lpstr>
      <vt:lpstr>NATIONAL LAWN FLYER</vt:lpstr>
      <vt:lpstr>QUICK REFERENCE</vt:lpstr>
      <vt:lpstr>Rebates</vt:lpstr>
      <vt:lpstr>Rebates!GraduatedRebate</vt:lpstr>
      <vt:lpstr>National_Header</vt:lpstr>
      <vt:lpstr>National_ProductForm</vt:lpstr>
      <vt:lpstr>National_Summary</vt:lpstr>
      <vt:lpstr>Rebates!PluginStatus</vt:lpstr>
      <vt:lpstr>Rebates!TotalPurchase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McNamara</dc:creator>
  <cp:keywords/>
  <dc:description/>
  <cp:lastModifiedBy>Lee Anne Merrigan</cp:lastModifiedBy>
  <cp:revision/>
  <cp:lastPrinted>2022-07-22T15:59:33Z</cp:lastPrinted>
  <dcterms:created xsi:type="dcterms:W3CDTF">2021-09-07T21:38:27Z</dcterms:created>
  <dcterms:modified xsi:type="dcterms:W3CDTF">2022-09-19T22:18:29Z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0x010100AF5C58F5046A0E4182DBC2A12A36F880</vt:lpwstr>
  </property>
  <property fmtid="{D5CDD505-2E9C-101B-9397-08002B2CF9AE}" pid="3" name="c2b5fb8256bd435bb7806ac3891e195b">
    <vt:lpwstr>Short-Term|6d967203-8346-4b9c-90f8-b3828a3fa508</vt:lpwstr>
  </property>
  <property fmtid="{D5CDD505-2E9C-101B-9397-08002B2CF9AE}" pid="4" name="DataClassBayerRetention">
    <vt:lpwstr>1;#Short-Term|6d967203-8346-4b9c-90f8-b3828a3fa508</vt:lpwstr>
  </property>
  <property fmtid="{D5CDD505-2E9C-101B-9397-08002B2CF9AE}" pid="5" name="Order">
    <vt:r8>127100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SIP_Label_7f850223-87a8-40c3-9eb2-432606efca2a_Enabled">
    <vt:lpwstr>true</vt:lpwstr>
  </property>
  <property fmtid="{D5CDD505-2E9C-101B-9397-08002B2CF9AE}" pid="13" name="MSIP_Label_7f850223-87a8-40c3-9eb2-432606efca2a_SetDate">
    <vt:lpwstr>2022-07-22T15:56:38Z</vt:lpwstr>
  </property>
  <property fmtid="{D5CDD505-2E9C-101B-9397-08002B2CF9AE}" pid="14" name="MSIP_Label_7f850223-87a8-40c3-9eb2-432606efca2a_Method">
    <vt:lpwstr>Privileged</vt:lpwstr>
  </property>
  <property fmtid="{D5CDD505-2E9C-101B-9397-08002B2CF9AE}" pid="15" name="MSIP_Label_7f850223-87a8-40c3-9eb2-432606efca2a_Name">
    <vt:lpwstr>7f850223-87a8-40c3-9eb2-432606efca2a</vt:lpwstr>
  </property>
  <property fmtid="{D5CDD505-2E9C-101B-9397-08002B2CF9AE}" pid="16" name="MSIP_Label_7f850223-87a8-40c3-9eb2-432606efca2a_SiteId">
    <vt:lpwstr>fcb2b37b-5da0-466b-9b83-0014b67a7c78</vt:lpwstr>
  </property>
  <property fmtid="{D5CDD505-2E9C-101B-9397-08002B2CF9AE}" pid="17" name="MSIP_Label_7f850223-87a8-40c3-9eb2-432606efca2a_ActionId">
    <vt:lpwstr>51fffae4-65b7-4d0e-b5e6-c46adae54804</vt:lpwstr>
  </property>
  <property fmtid="{D5CDD505-2E9C-101B-9397-08002B2CF9AE}" pid="18" name="MSIP_Label_7f850223-87a8-40c3-9eb2-432606efca2a_ContentBits">
    <vt:lpwstr>0</vt:lpwstr>
  </property>
  <property fmtid="{D5CDD505-2E9C-101B-9397-08002B2CF9AE}" pid="19" name="IbpWorkbookKeyString_GUID">
    <vt:lpwstr>494d0b8d-a27c-4c3d-9734-5778638aa6cd</vt:lpwstr>
  </property>
</Properties>
</file>